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EC\0200-úsek realizace zakázek\_Středisko 0210 - Technická příprava\_2020\01_Generel, koncepce VO\06 Mnichovo Hradiště\Výstup\POM VO\výstup 12.8.2021\"/>
    </mc:Choice>
  </mc:AlternateContent>
  <bookViews>
    <workbookView xWindow="480" yWindow="1290" windowWidth="16335" windowHeight="10830"/>
  </bookViews>
  <sheets>
    <sheet name="Ulice modernizace" sheetId="2" r:id="rId1"/>
    <sheet name="RVO modernizace" sheetId="3" r:id="rId2"/>
    <sheet name="Harmonogram modernizace" sheetId="4" r:id="rId3"/>
  </sheets>
  <definedNames>
    <definedName name="_xlnm._FilterDatabase" localSheetId="1" hidden="1">'RVO modernizace'!$A$1:$C$1</definedName>
    <definedName name="_xlnm._FilterDatabase" localSheetId="0" hidden="1">'Ulice modernizace'!$A$1:$S$144</definedName>
  </definedNames>
  <calcPr calcId="162913"/>
</workbook>
</file>

<file path=xl/calcChain.xml><?xml version="1.0" encoding="utf-8"?>
<calcChain xmlns="http://schemas.openxmlformats.org/spreadsheetml/2006/main">
  <c r="O138" i="2" l="1"/>
  <c r="M22" i="2"/>
  <c r="M23" i="2"/>
  <c r="M24" i="2"/>
  <c r="M25" i="2"/>
  <c r="M17" i="2" l="1"/>
  <c r="M89" i="2"/>
  <c r="M35" i="2"/>
  <c r="M134" i="2"/>
  <c r="M123" i="2"/>
  <c r="M72" i="2"/>
  <c r="M71" i="2"/>
  <c r="M122" i="2"/>
  <c r="M41" i="2"/>
  <c r="M121" i="2"/>
  <c r="M120" i="2"/>
  <c r="M119" i="2"/>
  <c r="M118" i="2"/>
  <c r="M117" i="2"/>
  <c r="M116" i="2"/>
  <c r="M40" i="2"/>
  <c r="M115" i="2"/>
  <c r="M39" i="2"/>
  <c r="M38" i="2"/>
  <c r="M133" i="2"/>
  <c r="M34" i="2"/>
  <c r="M16" i="2"/>
  <c r="M132" i="2"/>
  <c r="M114" i="2"/>
  <c r="M88" i="2"/>
  <c r="M105" i="2"/>
  <c r="M14" i="2"/>
  <c r="M13" i="2"/>
  <c r="M104" i="2"/>
  <c r="M61" i="2"/>
  <c r="M60" i="2"/>
  <c r="M70" i="2"/>
  <c r="M33" i="2"/>
  <c r="M52" i="2"/>
  <c r="M32" i="2"/>
  <c r="M59" i="2"/>
  <c r="M12" i="2"/>
  <c r="M113" i="2"/>
  <c r="M69" i="2"/>
  <c r="M87" i="2"/>
  <c r="M112" i="2"/>
  <c r="M86" i="2"/>
  <c r="M111" i="2"/>
  <c r="M68" i="2"/>
  <c r="M31" i="2"/>
  <c r="M131" i="2"/>
  <c r="M85" i="2"/>
  <c r="M130" i="2"/>
  <c r="M84" i="2"/>
  <c r="M58" i="2"/>
  <c r="M67" i="2"/>
  <c r="M57" i="2"/>
  <c r="M10" i="2"/>
  <c r="M83" i="2"/>
  <c r="M30" i="2"/>
  <c r="M103" i="2"/>
  <c r="M9" i="2"/>
  <c r="M129" i="2"/>
  <c r="M29" i="2"/>
  <c r="M102" i="2"/>
  <c r="M56" i="2"/>
  <c r="M51" i="2"/>
  <c r="M50" i="2"/>
  <c r="M49" i="2"/>
  <c r="M82" i="2"/>
  <c r="M28" i="2"/>
  <c r="M55" i="2"/>
  <c r="M128" i="2"/>
  <c r="M27" i="2"/>
  <c r="M101" i="2"/>
  <c r="M100" i="2"/>
  <c r="M81" i="2"/>
  <c r="M26" i="2"/>
  <c r="M48" i="2"/>
  <c r="M47" i="2"/>
  <c r="M80" i="2"/>
  <c r="M127" i="2"/>
  <c r="M79" i="2"/>
  <c r="M66" i="2"/>
  <c r="M8" i="2"/>
  <c r="M99" i="2"/>
  <c r="M98" i="2"/>
  <c r="M97" i="2"/>
  <c r="M78" i="2"/>
  <c r="M96" i="2"/>
  <c r="M109" i="2"/>
  <c r="M7" i="2"/>
  <c r="M37" i="2"/>
  <c r="M95" i="2"/>
  <c r="M77" i="2"/>
  <c r="M6" i="2"/>
  <c r="M46" i="2"/>
  <c r="M94" i="2"/>
  <c r="M65" i="2"/>
  <c r="M126" i="2"/>
  <c r="M21" i="2"/>
  <c r="M108" i="2"/>
  <c r="M125" i="2"/>
  <c r="M5" i="2"/>
  <c r="M4" i="2"/>
  <c r="M76" i="2"/>
  <c r="M93" i="2"/>
  <c r="M3" i="2"/>
  <c r="M124" i="2"/>
  <c r="M54" i="2"/>
  <c r="M64" i="2"/>
  <c r="M75" i="2"/>
  <c r="M63" i="2"/>
  <c r="M92" i="2"/>
  <c r="M20" i="2"/>
  <c r="M62" i="2"/>
  <c r="M91" i="2"/>
  <c r="M90" i="2"/>
  <c r="M2" i="2"/>
  <c r="M45" i="2"/>
  <c r="M44" i="2"/>
  <c r="M19" i="2"/>
  <c r="M36" i="2"/>
  <c r="M107" i="2"/>
  <c r="M74" i="2"/>
  <c r="M73" i="2"/>
  <c r="M43" i="2"/>
  <c r="M106" i="2"/>
  <c r="M42" i="2"/>
  <c r="M53" i="2"/>
  <c r="Q42" i="2" l="1"/>
  <c r="Q53" i="2"/>
  <c r="O136" i="2" l="1"/>
  <c r="O135" i="2"/>
  <c r="L14" i="2"/>
  <c r="O143" i="2" l="1"/>
  <c r="Q18" i="2" l="1"/>
  <c r="Q106" i="2"/>
  <c r="Q43" i="2"/>
  <c r="Q73" i="2"/>
  <c r="Q74" i="2"/>
  <c r="Q107" i="2"/>
  <c r="Q36" i="2"/>
  <c r="Q19" i="2"/>
  <c r="Q44" i="2"/>
  <c r="Q45" i="2"/>
  <c r="Q2" i="2"/>
  <c r="Q90" i="2"/>
  <c r="Q91" i="2"/>
  <c r="Q62" i="2"/>
  <c r="Q20" i="2"/>
  <c r="Q92" i="2"/>
  <c r="Q63" i="2"/>
  <c r="Q75" i="2"/>
  <c r="Q64" i="2"/>
  <c r="Q54" i="2"/>
  <c r="Q124" i="2"/>
  <c r="Q3" i="2"/>
  <c r="Q93" i="2"/>
  <c r="Q76" i="2"/>
  <c r="Q4" i="2"/>
  <c r="Q5" i="2"/>
  <c r="Q125" i="2"/>
  <c r="Q108" i="2"/>
  <c r="Q21" i="2"/>
  <c r="Q126" i="2"/>
  <c r="Q65" i="2"/>
  <c r="Q94" i="2"/>
  <c r="Q46" i="2"/>
  <c r="Q6" i="2"/>
  <c r="Q77" i="2"/>
  <c r="Q22" i="2"/>
  <c r="Q95" i="2"/>
  <c r="Q37" i="2"/>
  <c r="Q7" i="2"/>
  <c r="Q109" i="2"/>
  <c r="Q96" i="2"/>
  <c r="Q78" i="2"/>
  <c r="Q97" i="2"/>
  <c r="Q98" i="2"/>
  <c r="Q99" i="2"/>
  <c r="Q8" i="2"/>
  <c r="Q66" i="2"/>
  <c r="Q110" i="2"/>
  <c r="Q79" i="2"/>
  <c r="Q127" i="2"/>
  <c r="Q23" i="2"/>
  <c r="Q24" i="2"/>
  <c r="Q80" i="2"/>
  <c r="Q47" i="2"/>
  <c r="Q48" i="2"/>
  <c r="Q25" i="2"/>
  <c r="Q26" i="2"/>
  <c r="Q81" i="2"/>
  <c r="Q100" i="2"/>
  <c r="Q101" i="2"/>
  <c r="Q27" i="2"/>
  <c r="Q128" i="2"/>
  <c r="Q55" i="2"/>
  <c r="Q28" i="2"/>
  <c r="Q82" i="2"/>
  <c r="Q49" i="2"/>
  <c r="Q50" i="2"/>
  <c r="Q51" i="2"/>
  <c r="Q56" i="2"/>
  <c r="Q102" i="2"/>
  <c r="Q29" i="2"/>
  <c r="Q129" i="2"/>
  <c r="Q9" i="2"/>
  <c r="Q103" i="2"/>
  <c r="Q30" i="2"/>
  <c r="Q83" i="2"/>
  <c r="Q10" i="2"/>
  <c r="Q57" i="2"/>
  <c r="Q67" i="2"/>
  <c r="Q58" i="2"/>
  <c r="Q84" i="2"/>
  <c r="Q130" i="2"/>
  <c r="Q85" i="2"/>
  <c r="Q131" i="2"/>
  <c r="Q31" i="2"/>
  <c r="Q68" i="2"/>
  <c r="Q111" i="2"/>
  <c r="Q86" i="2"/>
  <c r="Q11" i="2"/>
  <c r="Q112" i="2"/>
  <c r="Q87" i="2"/>
  <c r="Q69" i="2"/>
  <c r="Q113" i="2"/>
  <c r="Q12" i="2"/>
  <c r="Q59" i="2"/>
  <c r="Q32" i="2"/>
  <c r="Q52" i="2"/>
  <c r="Q33" i="2"/>
  <c r="Q70" i="2"/>
  <c r="Q60" i="2"/>
  <c r="Q61" i="2"/>
  <c r="Q104" i="2"/>
  <c r="Q13" i="2"/>
  <c r="Q14" i="2"/>
  <c r="Q15" i="2"/>
  <c r="Q105" i="2"/>
  <c r="Q88" i="2"/>
  <c r="Q114" i="2"/>
  <c r="Q132" i="2"/>
  <c r="Q16" i="2"/>
  <c r="Q34" i="2"/>
  <c r="Q133" i="2"/>
  <c r="Q38" i="2"/>
  <c r="Q39" i="2"/>
  <c r="Q115" i="2"/>
  <c r="Q40" i="2"/>
  <c r="Q116" i="2"/>
  <c r="Q117" i="2"/>
  <c r="Q118" i="2"/>
  <c r="Q119" i="2"/>
  <c r="Q120" i="2"/>
  <c r="Q121" i="2"/>
  <c r="Q41" i="2"/>
  <c r="Q71" i="2"/>
  <c r="Q72" i="2"/>
  <c r="Q123" i="2"/>
  <c r="Q134" i="2"/>
  <c r="Q35" i="2"/>
  <c r="Q89" i="2"/>
  <c r="Q17" i="2"/>
  <c r="O17" i="2"/>
  <c r="O35" i="2"/>
  <c r="O71" i="2"/>
  <c r="O122" i="2"/>
  <c r="O41" i="2"/>
  <c r="O144" i="2"/>
  <c r="O121" i="2"/>
  <c r="O120" i="2"/>
  <c r="O119" i="2"/>
  <c r="O118" i="2"/>
  <c r="O117" i="2"/>
  <c r="O116" i="2"/>
  <c r="O40" i="2"/>
  <c r="O115" i="2"/>
  <c r="O39" i="2"/>
  <c r="O38" i="2"/>
  <c r="O133" i="2"/>
  <c r="O34" i="2"/>
  <c r="O16" i="2"/>
  <c r="O132" i="2"/>
  <c r="O105" i="2"/>
  <c r="O13" i="2"/>
  <c r="O104" i="2"/>
  <c r="O61" i="2"/>
  <c r="O60" i="2"/>
  <c r="O70" i="2"/>
  <c r="O33" i="2"/>
  <c r="O52" i="2"/>
  <c r="O32" i="2"/>
  <c r="O12" i="2"/>
  <c r="O69" i="2"/>
  <c r="O142" i="2"/>
  <c r="O87" i="2"/>
  <c r="O11" i="2"/>
  <c r="O86" i="2"/>
  <c r="O111" i="2"/>
  <c r="O68" i="2"/>
  <c r="O31" i="2"/>
  <c r="O131" i="2"/>
  <c r="O130" i="2"/>
  <c r="O84" i="2"/>
  <c r="O58" i="2"/>
  <c r="O67" i="2"/>
  <c r="O57" i="2"/>
  <c r="O141" i="2"/>
  <c r="O10" i="2"/>
  <c r="O83" i="2"/>
  <c r="O30" i="2"/>
  <c r="O103" i="2"/>
  <c r="O9" i="2"/>
  <c r="O129" i="2"/>
  <c r="O29" i="2"/>
  <c r="O102" i="2"/>
  <c r="O56" i="2"/>
  <c r="O51" i="2"/>
  <c r="O50" i="2"/>
  <c r="O49" i="2"/>
  <c r="O82" i="2"/>
  <c r="O28" i="2"/>
  <c r="O55" i="2"/>
  <c r="O128" i="2"/>
  <c r="O27" i="2"/>
  <c r="O100" i="2"/>
  <c r="O81" i="2"/>
  <c r="O140" i="2"/>
  <c r="O26" i="2"/>
  <c r="O25" i="2"/>
  <c r="O48" i="2"/>
  <c r="O80" i="2"/>
  <c r="O24" i="2"/>
  <c r="O23" i="2"/>
  <c r="O79" i="2"/>
  <c r="O66" i="2"/>
  <c r="O8" i="2"/>
  <c r="O99" i="2"/>
  <c r="O98" i="2"/>
  <c r="O97" i="2"/>
  <c r="O78" i="2"/>
  <c r="O96" i="2"/>
  <c r="O109" i="2"/>
  <c r="O7" i="2"/>
  <c r="O37" i="2"/>
  <c r="O95" i="2"/>
  <c r="O22" i="2"/>
  <c r="O77" i="2"/>
  <c r="O6" i="2"/>
  <c r="O46" i="2"/>
  <c r="O94" i="2"/>
  <c r="O65" i="2"/>
  <c r="O126" i="2"/>
  <c r="O21" i="2"/>
  <c r="O108" i="2"/>
  <c r="O125" i="2"/>
  <c r="O139" i="2"/>
  <c r="O137" i="2"/>
  <c r="O4" i="2"/>
  <c r="O76" i="2"/>
  <c r="O93" i="2"/>
  <c r="O3" i="2"/>
  <c r="O124" i="2"/>
  <c r="O54" i="2"/>
  <c r="O64" i="2"/>
  <c r="O75" i="2"/>
  <c r="O92" i="2"/>
  <c r="O20" i="2"/>
  <c r="O62" i="2"/>
  <c r="O91" i="2"/>
  <c r="O90" i="2"/>
  <c r="O2" i="2"/>
  <c r="O45" i="2"/>
  <c r="O44" i="2"/>
  <c r="O19" i="2"/>
  <c r="O36" i="2"/>
  <c r="O107" i="2"/>
  <c r="O74" i="2"/>
  <c r="O73" i="2"/>
  <c r="O43" i="2"/>
  <c r="O18" i="2"/>
  <c r="O53" i="2"/>
  <c r="O127" i="2"/>
  <c r="O89" i="2"/>
  <c r="O123" i="2"/>
  <c r="O72" i="2"/>
  <c r="O114" i="2"/>
  <c r="O14" i="2"/>
  <c r="O59" i="2"/>
  <c r="O85" i="2"/>
  <c r="O42" i="2"/>
  <c r="L89" i="2"/>
  <c r="L123" i="2"/>
  <c r="L72" i="2"/>
  <c r="L114" i="2"/>
  <c r="L59" i="2"/>
  <c r="L85" i="2"/>
  <c r="L42" i="2"/>
  <c r="L127" i="2"/>
  <c r="L71" i="2"/>
  <c r="L60" i="2"/>
  <c r="L84" i="2"/>
  <c r="L141" i="2"/>
  <c r="L96" i="2"/>
  <c r="L37" i="2"/>
  <c r="L21" i="2"/>
  <c r="L64" i="2"/>
  <c r="L44" i="2"/>
  <c r="L113" i="2"/>
  <c r="L112" i="2"/>
  <c r="L101" i="2"/>
  <c r="L63" i="2"/>
  <c r="L134" i="2"/>
  <c r="L88" i="2"/>
  <c r="L47" i="2"/>
  <c r="L110" i="2"/>
  <c r="L5" i="2"/>
  <c r="L17" i="2"/>
  <c r="L35" i="2"/>
  <c r="L122" i="2"/>
  <c r="L41" i="2"/>
  <c r="L144" i="2"/>
  <c r="L121" i="2"/>
  <c r="L120" i="2"/>
  <c r="L119" i="2"/>
  <c r="L118" i="2"/>
  <c r="L117" i="2"/>
  <c r="L116" i="2"/>
  <c r="L40" i="2"/>
  <c r="L115" i="2"/>
  <c r="L39" i="2"/>
  <c r="L38" i="2"/>
  <c r="L133" i="2"/>
  <c r="L34" i="2"/>
  <c r="L16" i="2"/>
  <c r="L132" i="2"/>
  <c r="L105" i="2"/>
  <c r="L13" i="2"/>
  <c r="L104" i="2"/>
  <c r="L61" i="2"/>
  <c r="L70" i="2"/>
  <c r="L33" i="2"/>
  <c r="L52" i="2"/>
  <c r="L32" i="2"/>
  <c r="L12" i="2"/>
  <c r="L143" i="2"/>
  <c r="L69" i="2"/>
  <c r="L142" i="2"/>
  <c r="L87" i="2"/>
  <c r="L11" i="2"/>
  <c r="L86" i="2"/>
  <c r="L111" i="2"/>
  <c r="L68" i="2"/>
  <c r="L31" i="2"/>
  <c r="L131" i="2"/>
  <c r="L130" i="2"/>
  <c r="L58" i="2"/>
  <c r="L67" i="2"/>
  <c r="L57" i="2"/>
  <c r="L10" i="2"/>
  <c r="L83" i="2"/>
  <c r="L30" i="2"/>
  <c r="L103" i="2"/>
  <c r="L9" i="2"/>
  <c r="L129" i="2"/>
  <c r="L29" i="2"/>
  <c r="L102" i="2"/>
  <c r="L56" i="2"/>
  <c r="L51" i="2"/>
  <c r="L50" i="2"/>
  <c r="L49" i="2"/>
  <c r="L82" i="2"/>
  <c r="L28" i="2"/>
  <c r="L55" i="2"/>
  <c r="L128" i="2"/>
  <c r="L27" i="2"/>
  <c r="L100" i="2"/>
  <c r="L81" i="2"/>
  <c r="L140" i="2"/>
  <c r="L26" i="2"/>
  <c r="L25" i="2"/>
  <c r="L48" i="2"/>
  <c r="L80" i="2"/>
  <c r="L24" i="2"/>
  <c r="L23" i="2"/>
  <c r="L79" i="2"/>
  <c r="L66" i="2"/>
  <c r="L8" i="2"/>
  <c r="L99" i="2"/>
  <c r="L98" i="2"/>
  <c r="L97" i="2"/>
  <c r="L78" i="2"/>
  <c r="L109" i="2"/>
  <c r="L7" i="2"/>
  <c r="L95" i="2"/>
  <c r="L22" i="2"/>
  <c r="L77" i="2"/>
  <c r="L6" i="2"/>
  <c r="L46" i="2"/>
  <c r="L94" i="2"/>
  <c r="L65" i="2"/>
  <c r="L126" i="2"/>
  <c r="L108" i="2"/>
  <c r="L125" i="2"/>
  <c r="L139" i="2"/>
  <c r="L4" i="2"/>
  <c r="L76" i="2"/>
  <c r="L93" i="2"/>
  <c r="L3" i="2"/>
  <c r="L124" i="2"/>
  <c r="L54" i="2"/>
  <c r="L75" i="2"/>
  <c r="L92" i="2"/>
  <c r="L136" i="2"/>
  <c r="R136" i="2" s="1"/>
  <c r="L135" i="2"/>
  <c r="L20" i="2"/>
  <c r="L62" i="2"/>
  <c r="L91" i="2"/>
  <c r="L90" i="2"/>
  <c r="L2" i="2"/>
  <c r="L45" i="2"/>
  <c r="L19" i="2"/>
  <c r="L36" i="2"/>
  <c r="L107" i="2"/>
  <c r="L74" i="2"/>
  <c r="L73" i="2"/>
  <c r="L43" i="2"/>
  <c r="L106" i="2"/>
  <c r="L18" i="2"/>
  <c r="L53" i="2"/>
  <c r="R114" i="2" l="1"/>
  <c r="R14" i="2"/>
  <c r="R123" i="2"/>
  <c r="R59" i="2"/>
  <c r="R89" i="2"/>
  <c r="R72" i="2"/>
  <c r="R85" i="2"/>
  <c r="R68" i="2"/>
  <c r="R91" i="2"/>
  <c r="R25" i="2"/>
  <c r="R100" i="2"/>
  <c r="R12" i="2"/>
  <c r="R17" i="2"/>
  <c r="R54" i="2"/>
  <c r="R99" i="2"/>
  <c r="R51" i="2"/>
  <c r="R83" i="2"/>
  <c r="R87" i="2"/>
  <c r="R21" i="2"/>
  <c r="R26" i="2"/>
  <c r="R76" i="2"/>
  <c r="R139" i="2"/>
  <c r="R28" i="2"/>
  <c r="R129" i="2"/>
  <c r="R58" i="2"/>
  <c r="R53" i="2"/>
  <c r="R56" i="2"/>
  <c r="R24" i="2"/>
  <c r="R75" i="2"/>
  <c r="R48" i="2"/>
  <c r="R81" i="2"/>
  <c r="R98" i="2"/>
  <c r="R55" i="2"/>
  <c r="R50" i="2"/>
  <c r="R29" i="2"/>
  <c r="R30" i="2"/>
  <c r="R74" i="2"/>
  <c r="R45" i="2"/>
  <c r="R62" i="2"/>
  <c r="R92" i="2"/>
  <c r="R80" i="2"/>
  <c r="R132" i="2"/>
  <c r="R38" i="2"/>
  <c r="R116" i="2"/>
  <c r="R120" i="2"/>
  <c r="R122" i="2"/>
  <c r="R44" i="2"/>
  <c r="R107" i="2"/>
  <c r="R79" i="2"/>
  <c r="R31" i="2"/>
  <c r="R11" i="2"/>
  <c r="R143" i="2"/>
  <c r="R42" i="2"/>
  <c r="R36" i="2"/>
  <c r="R135" i="2"/>
  <c r="R34" i="2"/>
  <c r="R118" i="2"/>
  <c r="R73" i="2"/>
  <c r="R19" i="2"/>
  <c r="R94" i="2"/>
  <c r="R22" i="2"/>
  <c r="R27" i="2"/>
  <c r="R82" i="2"/>
  <c r="R9" i="2"/>
  <c r="R10" i="2"/>
  <c r="R130" i="2"/>
  <c r="R111" i="2"/>
  <c r="R32" i="2"/>
  <c r="R105" i="2"/>
  <c r="R37" i="2"/>
  <c r="R60" i="2"/>
  <c r="R43" i="2"/>
  <c r="R90" i="2"/>
  <c r="R109" i="2"/>
  <c r="R23" i="2"/>
  <c r="R15" i="2"/>
  <c r="R115" i="2"/>
  <c r="R144" i="2"/>
  <c r="R18" i="2"/>
  <c r="R3" i="2"/>
  <c r="R137" i="2"/>
  <c r="R108" i="2"/>
  <c r="R97" i="2"/>
  <c r="R66" i="2"/>
  <c r="R128" i="2"/>
  <c r="R49" i="2"/>
  <c r="R102" i="2"/>
  <c r="R103" i="2"/>
  <c r="R57" i="2"/>
  <c r="R124" i="2"/>
  <c r="R4" i="2"/>
  <c r="R78" i="2"/>
  <c r="R8" i="2"/>
  <c r="R61" i="2"/>
  <c r="R133" i="2"/>
  <c r="R40" i="2"/>
  <c r="R119" i="2"/>
  <c r="R41" i="2"/>
  <c r="R95" i="2"/>
  <c r="R86" i="2"/>
  <c r="R69" i="2"/>
  <c r="R104" i="2"/>
  <c r="R96" i="2"/>
  <c r="R71" i="2"/>
  <c r="R125" i="2"/>
  <c r="R65" i="2"/>
  <c r="R77" i="2"/>
  <c r="R7" i="2"/>
  <c r="R141" i="2"/>
  <c r="R84" i="2"/>
  <c r="R70" i="2"/>
  <c r="R13" i="2"/>
  <c r="R46" i="2"/>
  <c r="R140" i="2"/>
  <c r="R131" i="2"/>
  <c r="R52" i="2"/>
  <c r="R2" i="2"/>
  <c r="R20" i="2"/>
  <c r="R93" i="2"/>
  <c r="R138" i="2"/>
  <c r="R126" i="2"/>
  <c r="R6" i="2"/>
  <c r="R67" i="2"/>
  <c r="R33" i="2"/>
  <c r="R16" i="2"/>
  <c r="R39" i="2"/>
  <c r="R117" i="2"/>
  <c r="R121" i="2"/>
  <c r="R35" i="2"/>
  <c r="R64" i="2"/>
  <c r="R127" i="2"/>
  <c r="R142" i="2"/>
  <c r="N106" i="2" l="1"/>
  <c r="O106" i="2" s="1"/>
  <c r="R106" i="2" s="1"/>
  <c r="N43" i="2"/>
  <c r="N73" i="2"/>
  <c r="N74" i="2"/>
  <c r="N107" i="2"/>
  <c r="N36" i="2"/>
  <c r="N19" i="2"/>
  <c r="N44" i="2"/>
  <c r="N45" i="2"/>
  <c r="N2" i="2"/>
  <c r="N90" i="2"/>
  <c r="N91" i="2"/>
  <c r="N62" i="2"/>
  <c r="N20" i="2"/>
  <c r="N92" i="2"/>
  <c r="N63" i="2"/>
  <c r="O63" i="2" s="1"/>
  <c r="R63" i="2" s="1"/>
  <c r="N75" i="2"/>
  <c r="N64" i="2"/>
  <c r="N54" i="2"/>
  <c r="N124" i="2"/>
  <c r="N3" i="2"/>
  <c r="N93" i="2"/>
  <c r="N76" i="2"/>
  <c r="N4" i="2"/>
  <c r="N137" i="2"/>
  <c r="N5" i="2"/>
  <c r="O5" i="2" s="1"/>
  <c r="R5" i="2" s="1"/>
  <c r="N138" i="2"/>
  <c r="N139" i="2"/>
  <c r="N125" i="2"/>
  <c r="N108" i="2"/>
  <c r="N21" i="2"/>
  <c r="N126" i="2"/>
  <c r="N65" i="2"/>
  <c r="N94" i="2"/>
  <c r="N46" i="2"/>
  <c r="N6" i="2"/>
  <c r="N77" i="2"/>
  <c r="N22" i="2"/>
  <c r="N95" i="2"/>
  <c r="N37" i="2"/>
  <c r="N7" i="2"/>
  <c r="N109" i="2"/>
  <c r="N96" i="2"/>
  <c r="N78" i="2"/>
  <c r="N97" i="2"/>
  <c r="N98" i="2"/>
  <c r="N99" i="2"/>
  <c r="N8" i="2"/>
  <c r="N66" i="2"/>
  <c r="O110" i="2"/>
  <c r="R110" i="2" s="1"/>
  <c r="N79" i="2"/>
  <c r="N127" i="2"/>
  <c r="N23" i="2"/>
  <c r="N24" i="2"/>
  <c r="N80" i="2"/>
  <c r="N47" i="2"/>
  <c r="O47" i="2" s="1"/>
  <c r="R47" i="2" s="1"/>
  <c r="N48" i="2"/>
  <c r="N25" i="2"/>
  <c r="N26" i="2"/>
  <c r="N81" i="2"/>
  <c r="N100" i="2"/>
  <c r="N101" i="2"/>
  <c r="O101" i="2" s="1"/>
  <c r="R101" i="2" s="1"/>
  <c r="N27" i="2"/>
  <c r="N128" i="2"/>
  <c r="N55" i="2"/>
  <c r="N28" i="2"/>
  <c r="N82" i="2"/>
  <c r="N49" i="2"/>
  <c r="N50" i="2"/>
  <c r="N51" i="2"/>
  <c r="N56" i="2"/>
  <c r="N102" i="2"/>
  <c r="N29" i="2"/>
  <c r="N129" i="2"/>
  <c r="N9" i="2"/>
  <c r="N103" i="2"/>
  <c r="N30" i="2"/>
  <c r="N83" i="2"/>
  <c r="N10" i="2"/>
  <c r="N141" i="2"/>
  <c r="N57" i="2"/>
  <c r="N67" i="2"/>
  <c r="N58" i="2"/>
  <c r="N84" i="2"/>
  <c r="N130" i="2"/>
  <c r="N85" i="2"/>
  <c r="N131" i="2"/>
  <c r="N31" i="2"/>
  <c r="N68" i="2"/>
  <c r="N111" i="2"/>
  <c r="N86" i="2"/>
  <c r="N11" i="2"/>
  <c r="N112" i="2"/>
  <c r="O112" i="2" s="1"/>
  <c r="R112" i="2" s="1"/>
  <c r="N87" i="2"/>
  <c r="N142" i="2"/>
  <c r="N69" i="2"/>
  <c r="N113" i="2"/>
  <c r="O113" i="2" s="1"/>
  <c r="R113" i="2" s="1"/>
  <c r="N12" i="2"/>
  <c r="N59" i="2"/>
  <c r="N32" i="2"/>
  <c r="N52" i="2"/>
  <c r="N33" i="2"/>
  <c r="N70" i="2"/>
  <c r="N60" i="2"/>
  <c r="N61" i="2"/>
  <c r="N104" i="2"/>
  <c r="N13" i="2"/>
  <c r="N14" i="2"/>
  <c r="N105" i="2"/>
  <c r="N88" i="2"/>
  <c r="O88" i="2" s="1"/>
  <c r="R88" i="2" s="1"/>
  <c r="N114" i="2"/>
  <c r="N132" i="2"/>
  <c r="N16" i="2"/>
  <c r="N34" i="2"/>
  <c r="N133" i="2"/>
  <c r="N38" i="2"/>
  <c r="N39" i="2"/>
  <c r="N115" i="2"/>
  <c r="N40" i="2"/>
  <c r="N116" i="2"/>
  <c r="N117" i="2"/>
  <c r="N118" i="2"/>
  <c r="N119" i="2"/>
  <c r="N120" i="2"/>
  <c r="N121" i="2"/>
  <c r="N144" i="2"/>
  <c r="N41" i="2"/>
  <c r="N122" i="2"/>
  <c r="N71" i="2"/>
  <c r="N72" i="2"/>
  <c r="N123" i="2"/>
  <c r="N134" i="2"/>
  <c r="O134" i="2" s="1"/>
  <c r="R134" i="2" s="1"/>
  <c r="N35" i="2"/>
  <c r="N89" i="2"/>
  <c r="N17" i="2"/>
  <c r="N18" i="2"/>
  <c r="N42" i="2"/>
  <c r="N53" i="2"/>
  <c r="C173" i="4" l="1"/>
  <c r="C158" i="4"/>
  <c r="C136" i="4"/>
  <c r="C116" i="4"/>
  <c r="C95" i="4"/>
  <c r="C80" i="4"/>
  <c r="C67" i="4"/>
  <c r="C52" i="4"/>
  <c r="C42" i="4"/>
  <c r="C20" i="4"/>
  <c r="F18" i="2" l="1"/>
  <c r="F42" i="2"/>
  <c r="F106" i="2"/>
  <c r="F43" i="2"/>
  <c r="F73" i="2"/>
  <c r="F74" i="2"/>
  <c r="F107" i="2"/>
  <c r="F36" i="2"/>
  <c r="F19" i="2"/>
  <c r="F44" i="2"/>
  <c r="F45" i="2"/>
  <c r="F2" i="2"/>
  <c r="F90" i="2"/>
  <c r="F91" i="2"/>
  <c r="F62" i="2"/>
  <c r="F20" i="2"/>
  <c r="F135" i="2"/>
  <c r="F136" i="2"/>
  <c r="F92" i="2"/>
  <c r="F63" i="2"/>
  <c r="F75" i="2"/>
  <c r="F64" i="2"/>
  <c r="F54" i="2"/>
  <c r="F124" i="2"/>
  <c r="F3" i="2"/>
  <c r="F93" i="2"/>
  <c r="F76" i="2"/>
  <c r="F4" i="2"/>
  <c r="F137" i="2"/>
  <c r="F5" i="2"/>
  <c r="F138" i="2"/>
  <c r="F139" i="2"/>
  <c r="F125" i="2"/>
  <c r="F108" i="2"/>
  <c r="F21" i="2"/>
  <c r="F126" i="2"/>
  <c r="F65" i="2"/>
  <c r="F94" i="2"/>
  <c r="F46" i="2"/>
  <c r="F6" i="2"/>
  <c r="F77" i="2"/>
  <c r="F22" i="2"/>
  <c r="F95" i="2"/>
  <c r="F37" i="2"/>
  <c r="F7" i="2"/>
  <c r="F109" i="2"/>
  <c r="F96" i="2"/>
  <c r="F78" i="2"/>
  <c r="F97" i="2"/>
  <c r="F98" i="2"/>
  <c r="F99" i="2"/>
  <c r="F8" i="2"/>
  <c r="F66" i="2"/>
  <c r="F110" i="2"/>
  <c r="F79" i="2"/>
  <c r="F127" i="2"/>
  <c r="F23" i="2"/>
  <c r="F24" i="2"/>
  <c r="F80" i="2"/>
  <c r="F47" i="2"/>
  <c r="F48" i="2"/>
  <c r="F25" i="2"/>
  <c r="F26" i="2"/>
  <c r="F140" i="2"/>
  <c r="F81" i="2"/>
  <c r="F100" i="2"/>
  <c r="F101" i="2"/>
  <c r="F27" i="2"/>
  <c r="F128" i="2"/>
  <c r="F55" i="2"/>
  <c r="F28" i="2"/>
  <c r="F82" i="2"/>
  <c r="F49" i="2"/>
  <c r="F50" i="2"/>
  <c r="F51" i="2"/>
  <c r="F56" i="2"/>
  <c r="F102" i="2"/>
  <c r="F29" i="2"/>
  <c r="F129" i="2"/>
  <c r="F9" i="2"/>
  <c r="F103" i="2"/>
  <c r="F30" i="2"/>
  <c r="F83" i="2"/>
  <c r="F10" i="2"/>
  <c r="F141" i="2"/>
  <c r="F57" i="2"/>
  <c r="F67" i="2"/>
  <c r="F58" i="2"/>
  <c r="F84" i="2"/>
  <c r="F130" i="2"/>
  <c r="F85" i="2"/>
  <c r="F131" i="2"/>
  <c r="F31" i="2"/>
  <c r="F68" i="2"/>
  <c r="F111" i="2"/>
  <c r="F86" i="2"/>
  <c r="F11" i="2"/>
  <c r="F112" i="2"/>
  <c r="F87" i="2"/>
  <c r="F142" i="2"/>
  <c r="F69" i="2"/>
  <c r="F143" i="2"/>
  <c r="F113" i="2"/>
  <c r="F12" i="2"/>
  <c r="F59" i="2"/>
  <c r="F32" i="2"/>
  <c r="F52" i="2"/>
  <c r="F33" i="2"/>
  <c r="F70" i="2"/>
  <c r="F60" i="2"/>
  <c r="F61" i="2"/>
  <c r="F104" i="2"/>
  <c r="F13" i="2"/>
  <c r="F14" i="2"/>
  <c r="F15" i="2"/>
  <c r="F105" i="2"/>
  <c r="F88" i="2"/>
  <c r="F114" i="2"/>
  <c r="F132" i="2"/>
  <c r="F16" i="2"/>
  <c r="F34" i="2"/>
  <c r="F133" i="2"/>
  <c r="F38" i="2"/>
  <c r="F39" i="2"/>
  <c r="F115" i="2"/>
  <c r="F40" i="2"/>
  <c r="F116" i="2"/>
  <c r="F117" i="2"/>
  <c r="F118" i="2"/>
  <c r="F119" i="2"/>
  <c r="F120" i="2"/>
  <c r="F121" i="2"/>
  <c r="F144" i="2"/>
  <c r="F41" i="2"/>
  <c r="F122" i="2"/>
  <c r="F71" i="2"/>
  <c r="F72" i="2"/>
  <c r="F123" i="2"/>
  <c r="F134" i="2"/>
  <c r="F35" i="2"/>
  <c r="F89" i="2"/>
  <c r="F17" i="2"/>
  <c r="F53" i="2"/>
</calcChain>
</file>

<file path=xl/sharedStrings.xml><?xml version="1.0" encoding="utf-8"?>
<sst xmlns="http://schemas.openxmlformats.org/spreadsheetml/2006/main" count="595" uniqueCount="244">
  <si>
    <t>Podolí</t>
  </si>
  <si>
    <t>Sychrov</t>
  </si>
  <si>
    <t>Kruhy</t>
  </si>
  <si>
    <t>Hradec</t>
  </si>
  <si>
    <t>Olšina</t>
  </si>
  <si>
    <t>Dneboh</t>
  </si>
  <si>
    <t>Dobrá Voda</t>
  </si>
  <si>
    <t>Lhotice</t>
  </si>
  <si>
    <t>Veselá - 5. května</t>
  </si>
  <si>
    <t>Hrnčířská</t>
  </si>
  <si>
    <t>Zámecká</t>
  </si>
  <si>
    <t>Klášterská</t>
  </si>
  <si>
    <t>Bělidla</t>
  </si>
  <si>
    <t>Budovcova</t>
  </si>
  <si>
    <t>Arnoldova</t>
  </si>
  <si>
    <t>Za Zámkem</t>
  </si>
  <si>
    <t>Dukelská</t>
  </si>
  <si>
    <t>Kpt. Jaroše</t>
  </si>
  <si>
    <t>Turnovská</t>
  </si>
  <si>
    <t>Bezručova</t>
  </si>
  <si>
    <t>Přemyslova</t>
  </si>
  <si>
    <t>Boženy Němcové</t>
  </si>
  <si>
    <t>Husova</t>
  </si>
  <si>
    <t>Komenského</t>
  </si>
  <si>
    <t>Mánesova</t>
  </si>
  <si>
    <t>Podskalská</t>
  </si>
  <si>
    <t>Mattušova</t>
  </si>
  <si>
    <t>Libušina</t>
  </si>
  <si>
    <t>Jiráskova</t>
  </si>
  <si>
    <t>Obránců míru</t>
  </si>
  <si>
    <t>Dvořákova</t>
  </si>
  <si>
    <t>Smetanova</t>
  </si>
  <si>
    <t>Jana Švermy</t>
  </si>
  <si>
    <t>Dvořákova - nádraží</t>
  </si>
  <si>
    <t>Dr. Hořice</t>
  </si>
  <si>
    <t>Jaselská - panelové bloky</t>
  </si>
  <si>
    <t>Na Průhonu</t>
  </si>
  <si>
    <t>V Cestkách</t>
  </si>
  <si>
    <t>Na Výsluní</t>
  </si>
  <si>
    <t>Polní</t>
  </si>
  <si>
    <t>Průběžná</t>
  </si>
  <si>
    <t>Na Úvoze</t>
  </si>
  <si>
    <t>U Statku</t>
  </si>
  <si>
    <t>Orlická</t>
  </si>
  <si>
    <t>Na Výhledu</t>
  </si>
  <si>
    <t>Nad Strání</t>
  </si>
  <si>
    <t>Sychrovská</t>
  </si>
  <si>
    <t>Pod Káčovem</t>
  </si>
  <si>
    <t>Za Zámeckou zdí</t>
  </si>
  <si>
    <t>Za Zámeckou zdí - parkoviště</t>
  </si>
  <si>
    <t>V Lípách</t>
  </si>
  <si>
    <t>Dvorce</t>
  </si>
  <si>
    <t>Nigrinovo návrší</t>
  </si>
  <si>
    <t>Hluboká</t>
  </si>
  <si>
    <t>Na Dvorcích</t>
  </si>
  <si>
    <t>Příkrá</t>
  </si>
  <si>
    <t>Na Příkopech</t>
  </si>
  <si>
    <t>Nad Dolci</t>
  </si>
  <si>
    <t>Na Hradčanech</t>
  </si>
  <si>
    <t>Máchova - Na Hradčanech</t>
  </si>
  <si>
    <t>Havlíčkova</t>
  </si>
  <si>
    <t>1. máje</t>
  </si>
  <si>
    <t>Na Stupních</t>
  </si>
  <si>
    <t>Sirkova</t>
  </si>
  <si>
    <t>Příčná</t>
  </si>
  <si>
    <t>Na Hradčanech - u hřiště</t>
  </si>
  <si>
    <t>Vrchlického návrší</t>
  </si>
  <si>
    <t>Máchova</t>
  </si>
  <si>
    <t>S. K. Neumanna</t>
  </si>
  <si>
    <t>Nad Parkem</t>
  </si>
  <si>
    <t>U Rozhledny</t>
  </si>
  <si>
    <t>Nad Parkem - ke gymnáziu</t>
  </si>
  <si>
    <t>Studentská</t>
  </si>
  <si>
    <t>Na Kamenci</t>
  </si>
  <si>
    <t>Jílová</t>
  </si>
  <si>
    <t>Lesní</t>
  </si>
  <si>
    <t>Na Kamenci - k býv. žid. hřbitovu</t>
  </si>
  <si>
    <t>Nezvalova</t>
  </si>
  <si>
    <t>Na Salabce</t>
  </si>
  <si>
    <t>Sukova</t>
  </si>
  <si>
    <t>Černá silnice</t>
  </si>
  <si>
    <t>Akátová</t>
  </si>
  <si>
    <t>Řadová</t>
  </si>
  <si>
    <t>K Vořechu</t>
  </si>
  <si>
    <t>Větrná</t>
  </si>
  <si>
    <t>Sadová</t>
  </si>
  <si>
    <t>Čsl. armády</t>
  </si>
  <si>
    <t>Víta Nejedlého - ke garážím</t>
  </si>
  <si>
    <t>Víta Nejedlého</t>
  </si>
  <si>
    <t>Svatopluka Čecha</t>
  </si>
  <si>
    <t>nájezd na II/268</t>
  </si>
  <si>
    <t>Nákladní</t>
  </si>
  <si>
    <t>Kaplířova</t>
  </si>
  <si>
    <t>Šlikova</t>
  </si>
  <si>
    <t>Harantova</t>
  </si>
  <si>
    <t>Ivana Olbrachta</t>
  </si>
  <si>
    <t>Žižkova</t>
  </si>
  <si>
    <t>Jana Švermy - park</t>
  </si>
  <si>
    <t>Víta Nejedlého - kruhový objezd</t>
  </si>
  <si>
    <t>Družstevní</t>
  </si>
  <si>
    <t>Družstevní - dům s peč. službou</t>
  </si>
  <si>
    <t>Nádražní</t>
  </si>
  <si>
    <t>Lidická - garáže</t>
  </si>
  <si>
    <t>Hřbitovní</t>
  </si>
  <si>
    <t>Sokolovská</t>
  </si>
  <si>
    <t>Kolmá</t>
  </si>
  <si>
    <t>Lidická</t>
  </si>
  <si>
    <t>Lidická - mezi bloky</t>
  </si>
  <si>
    <t>Nerudova</t>
  </si>
  <si>
    <t>Tylova</t>
  </si>
  <si>
    <t>Lomená</t>
  </si>
  <si>
    <t>Krátká</t>
  </si>
  <si>
    <t>U Trati</t>
  </si>
  <si>
    <t>Masarykovo náměstí</t>
  </si>
  <si>
    <t>Palackého</t>
  </si>
  <si>
    <t>Přestavlcká</t>
  </si>
  <si>
    <t>Mírová</t>
  </si>
  <si>
    <t>u býv. letního kina</t>
  </si>
  <si>
    <t>Turnovská - parkoviště</t>
  </si>
  <si>
    <t>Veselá - Slepá</t>
  </si>
  <si>
    <t>Veselá - Lhotická</t>
  </si>
  <si>
    <t>Veselá - Nová</t>
  </si>
  <si>
    <t>Veselá - Jabloňová</t>
  </si>
  <si>
    <t>Veselá - Okružní</t>
  </si>
  <si>
    <t>Veselá - Školní</t>
  </si>
  <si>
    <t>Veselá - Na Návsi</t>
  </si>
  <si>
    <t>Veselá - Křemenská</t>
  </si>
  <si>
    <t>Veselá - Bakovská</t>
  </si>
  <si>
    <t>Hoškovice</t>
  </si>
  <si>
    <t>Na Vršku</t>
  </si>
  <si>
    <t>Pojizerská</t>
  </si>
  <si>
    <t>Ještědská</t>
  </si>
  <si>
    <t>K Arnošticům</t>
  </si>
  <si>
    <t>Jaselská</t>
  </si>
  <si>
    <t>Turnovská - domov pro seniory</t>
  </si>
  <si>
    <t>Sokolovská - škola</t>
  </si>
  <si>
    <t>bažantnice</t>
  </si>
  <si>
    <t>Nad Skalou</t>
  </si>
  <si>
    <t>Nezvalova - hřiště</t>
  </si>
  <si>
    <t>Kurovodice</t>
  </si>
  <si>
    <t>Podolská</t>
  </si>
  <si>
    <t>Hradecká</t>
  </si>
  <si>
    <t>Poříčská</t>
  </si>
  <si>
    <t>Ulice</t>
  </si>
  <si>
    <t>Náklady svítidlo</t>
  </si>
  <si>
    <t>Náklady stožár</t>
  </si>
  <si>
    <t>Náklady celkem</t>
  </si>
  <si>
    <t>Počet SB</t>
  </si>
  <si>
    <t>Počet SM</t>
  </si>
  <si>
    <t>Celková priorita</t>
  </si>
  <si>
    <t>Průměrná priorita</t>
  </si>
  <si>
    <t>Číslo RVO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</si>
  <si>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</si>
  <si>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</si>
  <si>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</si>
  <si>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</si>
  <si>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</si>
  <si>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</si>
  <si>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</si>
  <si>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</si>
  <si>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</si>
  <si>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</si>
  <si>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</si>
  <si>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</si>
  <si>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</si>
  <si>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</si>
  <si>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</si>
  <si>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</si>
  <si>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</si>
  <si>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</si>
  <si>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</si>
  <si>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</si>
  <si>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</si>
  <si>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</si>
  <si>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</si>
  <si>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</si>
  <si>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</si>
  <si>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</si>
  <si>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</si>
  <si>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</si>
  <si>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</si>
  <si>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</si>
  <si>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</si>
  <si>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</si>
  <si>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</si>
  <si>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</si>
  <si>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</si>
  <si>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8, 13</t>
  </si>
  <si>
    <t>1,4,7</t>
  </si>
  <si>
    <t>14,17,18</t>
  </si>
  <si>
    <t>9, 10</t>
  </si>
  <si>
    <t>12,13,14,15</t>
  </si>
  <si>
    <t>2,7,14,17</t>
  </si>
  <si>
    <t>Celkem:</t>
  </si>
  <si>
    <t>Rok 2022</t>
  </si>
  <si>
    <t>Rok 2023</t>
  </si>
  <si>
    <t>Rok 2024</t>
  </si>
  <si>
    <t>Rok 2025</t>
  </si>
  <si>
    <t>Rok 2026</t>
  </si>
  <si>
    <t>Rok 2027</t>
  </si>
  <si>
    <t>Rok 2028</t>
  </si>
  <si>
    <t>Rok 2029</t>
  </si>
  <si>
    <t>Rok 2030</t>
  </si>
  <si>
    <t>Rok 2031</t>
  </si>
  <si>
    <t>Počet přechodových svítidel k modernizaci</t>
  </si>
  <si>
    <t>Náklady kabel</t>
  </si>
  <si>
    <t>Počet svítidel k modernizaci</t>
  </si>
  <si>
    <t>Stávající příkon (W)</t>
  </si>
  <si>
    <t>Počet stožárů k modernizaci</t>
  </si>
  <si>
    <t>Montážní výška (m)</t>
  </si>
  <si>
    <t>Délka kabelu (m)</t>
  </si>
  <si>
    <t>2x10 + 7x6</t>
  </si>
  <si>
    <t>39x10 + 43x8</t>
  </si>
  <si>
    <t>26x10 + 4x8</t>
  </si>
  <si>
    <t>16x10 + 34x8</t>
  </si>
  <si>
    <t>14x10 + 26x8</t>
  </si>
  <si>
    <t>23x10 + 29x8</t>
  </si>
  <si>
    <t>9x10 + 12x6</t>
  </si>
  <si>
    <t>23x10 + 26x8</t>
  </si>
  <si>
    <t>17x10 + 22x8</t>
  </si>
  <si>
    <t>5x8 + 2x6</t>
  </si>
  <si>
    <t>9x10 + 3x6</t>
  </si>
  <si>
    <t>26x10 + 37x8</t>
  </si>
  <si>
    <t>3x8 + 6x6</t>
  </si>
  <si>
    <t>4x8 +3x6</t>
  </si>
  <si>
    <t>6x10 + 3x8</t>
  </si>
  <si>
    <t>11x8 + 2x6</t>
  </si>
  <si>
    <t>3x8 + 13x6</t>
  </si>
  <si>
    <t>8x8 + 2x6</t>
  </si>
  <si>
    <t>Funkční zóna</t>
  </si>
  <si>
    <t>dopravní</t>
  </si>
  <si>
    <t>obytná</t>
  </si>
  <si>
    <t>dopravní + historická</t>
  </si>
  <si>
    <t>zeleň</t>
  </si>
  <si>
    <t>dopravní + obytná</t>
  </si>
  <si>
    <t>historická</t>
  </si>
  <si>
    <t>dopravní/výroba</t>
  </si>
  <si>
    <t>obytná + zeleň</t>
  </si>
  <si>
    <t>dopravní + zeleň</t>
  </si>
  <si>
    <t>komerční</t>
  </si>
  <si>
    <t>Náklady na modernizaci</t>
  </si>
  <si>
    <t>Rok modernizace</t>
  </si>
  <si>
    <t>Cena za modernizaci</t>
  </si>
  <si>
    <t>Nový příkon (W)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</si>
</sst>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\ _K_č"/>
  </numFmts>
  <fonts count="5" x14ac:knownFonts="1">
    <font>
      <sz val="10"/>
      <name val="Arial"/>
      <charset val="1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3" borderId="7" xfId="0" applyFont="1" applyFill="1" applyBorder="1" applyAlignment="1">
      <alignment horizontal="left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0" xfId="0" applyFill="1"/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6" borderId="1" xfId="0" applyNumberForma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0" fillId="8" borderId="1" xfId="0" applyNumberForma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164" fontId="0" fillId="7" borderId="1" xfId="0" applyNumberForma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4" fillId="9" borderId="1" xfId="0" applyNumberFormat="1" applyFont="1" applyFill="1" applyBorder="1" applyAlignment="1">
      <alignment horizontal="center" vertical="center" wrapText="1"/>
    </xf>
    <xf numFmtId="165" fontId="0" fillId="9" borderId="1" xfId="0" applyNumberForma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 vertical="center" wrapText="1"/>
    </xf>
    <xf numFmtId="1" fontId="0" fillId="3" borderId="1" xfId="0" applyNumberForma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165" fontId="0" fillId="3" borderId="1" xfId="0" applyNumberFormat="1" applyFill="1" applyBorder="1" applyAlignment="1">
      <alignment horizontal="center" vertical="center" wrapText="1"/>
    </xf>
    <xf numFmtId="0" fontId="0" fillId="3" borderId="1" xfId="0" applyNumberForma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164" fontId="0" fillId="11" borderId="1" xfId="0" applyNumberFormat="1" applyFill="1" applyBorder="1" applyAlignment="1">
      <alignment horizontal="center" vertical="center" wrapText="1"/>
    </xf>
    <xf numFmtId="164" fontId="0" fillId="12" borderId="1" xfId="0" applyNumberFormat="1" applyFill="1" applyBorder="1" applyAlignment="1">
      <alignment horizontal="center" vertical="center" wrapText="1"/>
    </xf>
    <xf numFmtId="164" fontId="0" fillId="13" borderId="1" xfId="0" applyNumberFormat="1" applyFill="1" applyBorder="1" applyAlignment="1">
      <alignment horizontal="center" vertical="center" wrapText="1"/>
    </xf>
    <xf numFmtId="164" fontId="0" fillId="14" borderId="1" xfId="0" applyNumberFormat="1" applyFill="1" applyBorder="1" applyAlignment="1">
      <alignment horizontal="center" vertical="center" wrapText="1"/>
    </xf>
    <xf numFmtId="164" fontId="0" fillId="15" borderId="1" xfId="0" applyNumberFormat="1" applyFill="1" applyBorder="1" applyAlignment="1">
      <alignment horizontal="center" vertical="center" wrapText="1"/>
    </xf>
    <xf numFmtId="164" fontId="0" fillId="16" borderId="1" xfId="0" applyNumberFormat="1" applyFill="1" applyBorder="1" applyAlignment="1">
      <alignment horizontal="center" vertical="center" wrapText="1"/>
    </xf>
    <xf numFmtId="164" fontId="0" fillId="17" borderId="1" xfId="0" applyNumberFormat="1" applyFill="1" applyBorder="1" applyAlignment="1">
      <alignment horizontal="center" vertical="center" wrapText="1"/>
    </xf>
    <xf numFmtId="164" fontId="2" fillId="17" borderId="1" xfId="0" applyNumberFormat="1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164" fontId="3" fillId="3" borderId="8" xfId="0" applyNumberFormat="1" applyFont="1" applyFill="1" applyBorder="1" applyAlignment="1">
      <alignment horizontal="center"/>
    </xf>
    <xf numFmtId="164" fontId="3" fillId="3" borderId="9" xfId="0" applyNumberFormat="1" applyFont="1" applyFill="1" applyBorder="1" applyAlignment="1">
      <alignment horizontal="center"/>
    </xf>
    <xf numFmtId="164" fontId="3" fillId="3" borderId="10" xfId="0" applyNumberFormat="1" applyFont="1" applyFill="1" applyBorder="1" applyAlignment="1">
      <alignment horizontal="center"/>
    </xf>
    <xf numFmtId="164" fontId="4" fillId="5" borderId="2" xfId="0" applyNumberFormat="1" applyFont="1" applyFill="1" applyBorder="1" applyAlignment="1">
      <alignment horizontal="center"/>
    </xf>
    <xf numFmtId="164" fontId="4" fillId="5" borderId="3" xfId="0" applyNumberFormat="1" applyFont="1" applyFill="1" applyBorder="1" applyAlignment="1">
      <alignment horizontal="center"/>
    </xf>
    <xf numFmtId="164" fontId="4" fillId="5" borderId="4" xfId="0" applyNumberFormat="1" applyFont="1" applyFill="1" applyBorder="1" applyAlignment="1">
      <alignment horizontal="center"/>
    </xf>
    <xf numFmtId="164" fontId="4" fillId="5" borderId="0" xfId="0" applyNumberFormat="1" applyFont="1" applyFill="1" applyBorder="1" applyAlignment="1">
      <alignment horizontal="center"/>
    </xf>
    <xf numFmtId="164" fontId="4" fillId="5" borderId="5" xfId="0" applyNumberFormat="1" applyFont="1" applyFill="1" applyBorder="1" applyAlignment="1">
      <alignment horizontal="center"/>
    </xf>
    <xf numFmtId="164" fontId="4" fillId="5" borderId="6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FF"/>
      <color rgb="FFFF33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4"/>
  <sheetViews>
    <sheetView tabSelected="1" zoomScale="85" zoomScaleNormal="85" workbookViewId="0">
      <pane xSplit="1" topLeftCell="J1" activePane="topRight" state="frozen"/>
      <selection pane="topRight" activeCell="T1" sqref="T1"/>
    </sheetView>
  </sheetViews>
  <sheetFormatPr defaultRowHeight="12.75" x14ac:dyDescent="0.2"/>
  <cols>
    <col min="1" max="1" width="30.140625" style="1" customWidth="1"/>
    <col min="2" max="2" width="21" style="1" customWidth="1"/>
    <col min="3" max="3" width="12.7109375" style="1" customWidth="1"/>
    <col min="4" max="4" width="11.85546875" style="1" customWidth="1"/>
    <col min="5" max="10" width="19.42578125" style="1" customWidth="1"/>
    <col min="11" max="11" width="24.140625" style="1" customWidth="1"/>
    <col min="12" max="19" width="19.42578125" style="1" customWidth="1"/>
  </cols>
  <sheetData>
    <row r="1" spans="1:19" ht="30" x14ac:dyDescent="0.2">
      <c r="A1" s="2" t="s">
        <v>143</v>
      </c>
      <c r="B1" s="2" t="s">
        <v>151</v>
      </c>
      <c r="C1" s="2" t="s">
        <v>147</v>
      </c>
      <c r="D1" s="2" t="s">
        <v>148</v>
      </c>
      <c r="E1" s="41" t="s">
        <v>149</v>
      </c>
      <c r="F1" s="41" t="s">
        <v>150</v>
      </c>
      <c r="G1" s="41" t="s">
        <v>209</v>
      </c>
      <c r="H1" s="41" t="s">
        <v>229</v>
      </c>
      <c r="I1" s="41" t="s">
        <v>207</v>
      </c>
      <c r="J1" s="41" t="s">
        <v>206</v>
      </c>
      <c r="K1" s="41" t="s">
        <v>204</v>
      </c>
      <c r="L1" s="41" t="s">
        <v>144</v>
      </c>
      <c r="M1" s="41" t="s">
        <v>243</v>
      </c>
      <c r="N1" s="41" t="s">
        <v>208</v>
      </c>
      <c r="O1" s="41" t="s">
        <v>145</v>
      </c>
      <c r="P1" s="41" t="s">
        <v>210</v>
      </c>
      <c r="Q1" s="41" t="s">
        <v>205</v>
      </c>
      <c r="R1" s="41" t="s">
        <v>146</v>
      </c>
      <c r="S1" s="41" t="s">
        <v>241</v>
      </c>
    </row>
    <row r="2" spans="1:19" s="17" customFormat="1" x14ac:dyDescent="0.2">
      <c r="A2" s="34" t="s">
        <v>34</v>
      </c>
      <c r="B2" s="12">
        <v>18</v>
      </c>
      <c r="C2" s="12">
        <v>6</v>
      </c>
      <c r="D2" s="12">
        <v>6</v>
      </c>
      <c r="E2" s="12">
        <v>57</v>
      </c>
      <c r="F2" s="13">
        <f>E2/C2</f>
        <v>9.5</v>
      </c>
      <c r="G2" s="14">
        <v>8</v>
      </c>
      <c r="H2" s="14" t="s">
        <v>231</v>
      </c>
      <c r="I2" s="14">
        <v>498</v>
      </c>
      <c r="J2" s="12">
        <v>10</v>
      </c>
      <c r="K2" s="12">
        <v>0</v>
      </c>
      <c r="L2" s="15">
        <f>K2*10000+J2*10000</f>
        <v>100000</v>
      </c>
      <c r="M2" s="30">
        <f>3*25+7*20</f>
        <v>215</v>
      </c>
      <c r="N2" s="12">
        <f>J2+K2</f>
        <v>10</v>
      </c>
      <c r="O2" s="15">
        <f>K2*9950+21900*J2</f>
        <v>219000</v>
      </c>
      <c r="P2" s="16">
        <v>310</v>
      </c>
      <c r="Q2" s="15">
        <f>900*P2</f>
        <v>279000</v>
      </c>
      <c r="R2" s="42">
        <f>L2+O2+Q2</f>
        <v>598000</v>
      </c>
      <c r="S2" s="12">
        <v>2022</v>
      </c>
    </row>
    <row r="3" spans="1:19" s="17" customFormat="1" x14ac:dyDescent="0.2">
      <c r="A3" s="12" t="s">
        <v>9</v>
      </c>
      <c r="B3" s="12">
        <v>18.350000000000001</v>
      </c>
      <c r="C3" s="12">
        <v>7</v>
      </c>
      <c r="D3" s="12">
        <v>7</v>
      </c>
      <c r="E3" s="12">
        <v>45</v>
      </c>
      <c r="F3" s="13">
        <f>E3/C3</f>
        <v>6.4285714285714288</v>
      </c>
      <c r="G3" s="14">
        <v>10</v>
      </c>
      <c r="H3" s="14" t="s">
        <v>236</v>
      </c>
      <c r="I3" s="14">
        <v>581</v>
      </c>
      <c r="J3" s="12">
        <v>13</v>
      </c>
      <c r="K3" s="12">
        <v>0</v>
      </c>
      <c r="L3" s="15">
        <f>K3*10000+J3*10000</f>
        <v>130000</v>
      </c>
      <c r="M3" s="30">
        <f>3*25+9*30</f>
        <v>345</v>
      </c>
      <c r="N3" s="12">
        <f>J3+K3</f>
        <v>13</v>
      </c>
      <c r="O3" s="15">
        <f>K3*9950+21900*J3</f>
        <v>284700</v>
      </c>
      <c r="P3" s="16">
        <v>375</v>
      </c>
      <c r="Q3" s="15">
        <f>900*P3</f>
        <v>337500</v>
      </c>
      <c r="R3" s="22">
        <f>L3+O3+Q3</f>
        <v>752200</v>
      </c>
      <c r="S3" s="12">
        <v>2022</v>
      </c>
    </row>
    <row r="4" spans="1:19" s="17" customFormat="1" x14ac:dyDescent="0.2">
      <c r="A4" s="12" t="s">
        <v>95</v>
      </c>
      <c r="B4" s="12" t="s">
        <v>189</v>
      </c>
      <c r="C4" s="12">
        <v>16</v>
      </c>
      <c r="D4" s="12">
        <v>16</v>
      </c>
      <c r="E4" s="12">
        <v>90</v>
      </c>
      <c r="F4" s="13">
        <f>E4/C4</f>
        <v>5.625</v>
      </c>
      <c r="G4" s="14">
        <v>8</v>
      </c>
      <c r="H4" s="14" t="s">
        <v>231</v>
      </c>
      <c r="I4" s="14">
        <v>1440</v>
      </c>
      <c r="J4" s="12">
        <v>19</v>
      </c>
      <c r="K4" s="12">
        <v>0</v>
      </c>
      <c r="L4" s="15">
        <f>K4*10000+J4*10000</f>
        <v>190000</v>
      </c>
      <c r="M4" s="30">
        <f>(J4+K4)*30</f>
        <v>570</v>
      </c>
      <c r="N4" s="12">
        <f>J4+K4</f>
        <v>19</v>
      </c>
      <c r="O4" s="15">
        <f>K4*9950+21900*J4</f>
        <v>416100</v>
      </c>
      <c r="P4" s="16">
        <v>723</v>
      </c>
      <c r="Q4" s="15">
        <f>900*P4</f>
        <v>650700</v>
      </c>
      <c r="R4" s="22">
        <f>L4+O4+Q4</f>
        <v>1256800</v>
      </c>
      <c r="S4" s="12">
        <v>2022</v>
      </c>
    </row>
    <row r="5" spans="1:19" s="17" customFormat="1" x14ac:dyDescent="0.2">
      <c r="A5" s="12" t="s">
        <v>97</v>
      </c>
      <c r="B5" s="12">
        <v>18</v>
      </c>
      <c r="C5" s="12">
        <v>6</v>
      </c>
      <c r="D5" s="12">
        <v>6</v>
      </c>
      <c r="E5" s="12">
        <v>12</v>
      </c>
      <c r="F5" s="13">
        <f>E5/C5</f>
        <v>2</v>
      </c>
      <c r="G5" s="14">
        <v>6</v>
      </c>
      <c r="H5" s="14" t="s">
        <v>233</v>
      </c>
      <c r="I5" s="14">
        <v>498</v>
      </c>
      <c r="J5" s="12">
        <v>7</v>
      </c>
      <c r="K5" s="12">
        <v>0</v>
      </c>
      <c r="L5" s="15">
        <f>J5*7000</f>
        <v>49000</v>
      </c>
      <c r="M5" s="30">
        <f>(J5+K5)*15</f>
        <v>105</v>
      </c>
      <c r="N5" s="12">
        <f>J5+K5</f>
        <v>7</v>
      </c>
      <c r="O5" s="15">
        <f>9950*N5</f>
        <v>69650</v>
      </c>
      <c r="P5" s="16">
        <v>263</v>
      </c>
      <c r="Q5" s="15">
        <f>900*P5</f>
        <v>236700</v>
      </c>
      <c r="R5" s="22">
        <f>L5+O5+Q5</f>
        <v>355350</v>
      </c>
      <c r="S5" s="12">
        <v>2022</v>
      </c>
    </row>
    <row r="6" spans="1:19" s="17" customFormat="1" x14ac:dyDescent="0.2">
      <c r="A6" s="34" t="s">
        <v>105</v>
      </c>
      <c r="B6" s="12">
        <v>15</v>
      </c>
      <c r="C6" s="12">
        <v>1</v>
      </c>
      <c r="D6" s="12">
        <v>1</v>
      </c>
      <c r="E6" s="12">
        <v>9</v>
      </c>
      <c r="F6" s="13">
        <f>E6/C6</f>
        <v>9</v>
      </c>
      <c r="G6" s="14">
        <v>8</v>
      </c>
      <c r="H6" s="14" t="s">
        <v>231</v>
      </c>
      <c r="I6" s="14">
        <v>83</v>
      </c>
      <c r="J6" s="12">
        <v>3</v>
      </c>
      <c r="K6" s="12">
        <v>0</v>
      </c>
      <c r="L6" s="15">
        <f>K6*10000+J6*10000</f>
        <v>30000</v>
      </c>
      <c r="M6" s="30">
        <f>(J6+K6)*25</f>
        <v>75</v>
      </c>
      <c r="N6" s="12">
        <f>J6+K6</f>
        <v>3</v>
      </c>
      <c r="O6" s="15">
        <f>K6*9950+21900*J6</f>
        <v>65700</v>
      </c>
      <c r="P6" s="16">
        <v>56</v>
      </c>
      <c r="Q6" s="15">
        <f>900*P6</f>
        <v>50400</v>
      </c>
      <c r="R6" s="42">
        <f>L6+O6+Q6</f>
        <v>146100</v>
      </c>
      <c r="S6" s="12">
        <v>2022</v>
      </c>
    </row>
    <row r="7" spans="1:19" s="17" customFormat="1" x14ac:dyDescent="0.2">
      <c r="A7" s="12" t="s">
        <v>139</v>
      </c>
      <c r="B7" s="12">
        <v>27</v>
      </c>
      <c r="C7" s="12">
        <v>14</v>
      </c>
      <c r="D7" s="12">
        <v>13</v>
      </c>
      <c r="E7" s="12">
        <v>144</v>
      </c>
      <c r="F7" s="13">
        <f>E7/C7</f>
        <v>10.285714285714286</v>
      </c>
      <c r="G7" s="14">
        <v>10</v>
      </c>
      <c r="H7" s="14" t="s">
        <v>230</v>
      </c>
      <c r="I7" s="14">
        <v>1072</v>
      </c>
      <c r="J7" s="12">
        <v>16</v>
      </c>
      <c r="K7" s="12">
        <v>0</v>
      </c>
      <c r="L7" s="15">
        <f>K7*10000+J7*10000</f>
        <v>160000</v>
      </c>
      <c r="M7" s="30">
        <f>(J7+K7)*25</f>
        <v>400</v>
      </c>
      <c r="N7" s="12">
        <f>J7+K7</f>
        <v>16</v>
      </c>
      <c r="O7" s="15">
        <f>K7*9950+21900*J7</f>
        <v>350400</v>
      </c>
      <c r="P7" s="16">
        <v>489</v>
      </c>
      <c r="Q7" s="15">
        <f>900*P7</f>
        <v>440100</v>
      </c>
      <c r="R7" s="22">
        <f>L7+O7+Q7</f>
        <v>950500</v>
      </c>
      <c r="S7" s="12">
        <v>2022</v>
      </c>
    </row>
    <row r="8" spans="1:19" s="17" customFormat="1" x14ac:dyDescent="0.2">
      <c r="A8" s="12" t="s">
        <v>110</v>
      </c>
      <c r="B8" s="12">
        <v>16</v>
      </c>
      <c r="C8" s="12">
        <v>6</v>
      </c>
      <c r="D8" s="12">
        <v>6</v>
      </c>
      <c r="E8" s="12">
        <v>58</v>
      </c>
      <c r="F8" s="13">
        <f>E8/C8</f>
        <v>9.6666666666666661</v>
      </c>
      <c r="G8" s="14">
        <v>8</v>
      </c>
      <c r="H8" s="14" t="s">
        <v>231</v>
      </c>
      <c r="I8" s="14">
        <v>498</v>
      </c>
      <c r="J8" s="12">
        <v>6</v>
      </c>
      <c r="K8" s="12">
        <v>0</v>
      </c>
      <c r="L8" s="15">
        <f>K8*10000+J8*10000</f>
        <v>60000</v>
      </c>
      <c r="M8" s="30">
        <f>(J8+K8)*20</f>
        <v>120</v>
      </c>
      <c r="N8" s="12">
        <f>J8+K8</f>
        <v>6</v>
      </c>
      <c r="O8" s="15">
        <f>K8*9950+21900*J8</f>
        <v>131400</v>
      </c>
      <c r="P8" s="16">
        <v>173</v>
      </c>
      <c r="Q8" s="15">
        <f>900*P8</f>
        <v>155700</v>
      </c>
      <c r="R8" s="42">
        <f>L8+O8+Q8</f>
        <v>347100</v>
      </c>
      <c r="S8" s="12">
        <v>2022</v>
      </c>
    </row>
    <row r="9" spans="1:19" s="17" customFormat="1" x14ac:dyDescent="0.2">
      <c r="A9" s="12" t="s">
        <v>108</v>
      </c>
      <c r="B9" s="12">
        <v>16</v>
      </c>
      <c r="C9" s="12">
        <v>8</v>
      </c>
      <c r="D9" s="12">
        <v>8</v>
      </c>
      <c r="E9" s="12">
        <v>91</v>
      </c>
      <c r="F9" s="13">
        <f>E9/C9</f>
        <v>11.375</v>
      </c>
      <c r="G9" s="14">
        <v>8</v>
      </c>
      <c r="H9" s="14" t="s">
        <v>231</v>
      </c>
      <c r="I9" s="14">
        <v>664</v>
      </c>
      <c r="J9" s="12">
        <v>8</v>
      </c>
      <c r="K9" s="12">
        <v>0</v>
      </c>
      <c r="L9" s="15">
        <f>K9*10000+J9*10000</f>
        <v>80000</v>
      </c>
      <c r="M9" s="30">
        <f>(J9+K9)*20</f>
        <v>160</v>
      </c>
      <c r="N9" s="12">
        <f>J9+K9</f>
        <v>8</v>
      </c>
      <c r="O9" s="15">
        <f>K9*9950+21900*J9</f>
        <v>175200</v>
      </c>
      <c r="P9" s="16">
        <v>239</v>
      </c>
      <c r="Q9" s="15">
        <f>900*P9</f>
        <v>215100</v>
      </c>
      <c r="R9" s="42">
        <f>L9+O9+Q9</f>
        <v>470300</v>
      </c>
      <c r="S9" s="12">
        <v>2022</v>
      </c>
    </row>
    <row r="10" spans="1:19" s="17" customFormat="1" x14ac:dyDescent="0.2">
      <c r="A10" s="34" t="s">
        <v>29</v>
      </c>
      <c r="B10" s="12">
        <v>16.18</v>
      </c>
      <c r="C10" s="12">
        <v>20</v>
      </c>
      <c r="D10" s="12">
        <v>20</v>
      </c>
      <c r="E10" s="12">
        <v>226</v>
      </c>
      <c r="F10" s="13">
        <f>E10/C10</f>
        <v>11.3</v>
      </c>
      <c r="G10" s="14">
        <v>10</v>
      </c>
      <c r="H10" s="14" t="s">
        <v>230</v>
      </c>
      <c r="I10" s="14">
        <v>2499</v>
      </c>
      <c r="J10" s="12">
        <v>21</v>
      </c>
      <c r="K10" s="12">
        <v>1</v>
      </c>
      <c r="L10" s="15">
        <f>K10*10000+J10*10000</f>
        <v>220000</v>
      </c>
      <c r="M10" s="30">
        <f>16*25+5*50</f>
        <v>650</v>
      </c>
      <c r="N10" s="12">
        <f>J10+K10</f>
        <v>22</v>
      </c>
      <c r="O10" s="15">
        <f>K10*9950+21900*J10</f>
        <v>469850</v>
      </c>
      <c r="P10" s="16">
        <v>737</v>
      </c>
      <c r="Q10" s="15">
        <f>900*P10</f>
        <v>663300</v>
      </c>
      <c r="R10" s="42">
        <f>L10+O10+Q10</f>
        <v>1353150</v>
      </c>
      <c r="S10" s="12">
        <v>2022</v>
      </c>
    </row>
    <row r="11" spans="1:19" s="17" customFormat="1" x14ac:dyDescent="0.2">
      <c r="A11" s="12" t="s">
        <v>115</v>
      </c>
      <c r="B11" s="12">
        <v>16</v>
      </c>
      <c r="C11" s="12">
        <v>11</v>
      </c>
      <c r="D11" s="12">
        <v>11</v>
      </c>
      <c r="E11" s="12">
        <v>11</v>
      </c>
      <c r="F11" s="13">
        <f>E11/C11</f>
        <v>1</v>
      </c>
      <c r="G11" s="14">
        <v>8</v>
      </c>
      <c r="H11" s="14" t="s">
        <v>231</v>
      </c>
      <c r="I11" s="14">
        <v>308</v>
      </c>
      <c r="J11" s="12">
        <v>0</v>
      </c>
      <c r="K11" s="12">
        <v>0</v>
      </c>
      <c r="L11" s="15">
        <f>K11*10000+J11*10000</f>
        <v>0</v>
      </c>
      <c r="M11" s="30">
        <v>308</v>
      </c>
      <c r="N11" s="12">
        <f>J11+K11</f>
        <v>0</v>
      </c>
      <c r="O11" s="15">
        <f>K11*9950+21900*J11</f>
        <v>0</v>
      </c>
      <c r="P11" s="16">
        <v>539</v>
      </c>
      <c r="Q11" s="15">
        <f>900*P11</f>
        <v>485100</v>
      </c>
      <c r="R11" s="22">
        <f>L11+O11+Q11</f>
        <v>485100</v>
      </c>
      <c r="S11" s="12">
        <v>2022</v>
      </c>
    </row>
    <row r="12" spans="1:19" s="17" customFormat="1" x14ac:dyDescent="0.2">
      <c r="A12" s="34" t="s">
        <v>31</v>
      </c>
      <c r="B12" s="12">
        <v>18</v>
      </c>
      <c r="C12" s="12">
        <v>8</v>
      </c>
      <c r="D12" s="12">
        <v>8</v>
      </c>
      <c r="E12" s="12">
        <v>81</v>
      </c>
      <c r="F12" s="13">
        <f>E12/C12</f>
        <v>10.125</v>
      </c>
      <c r="G12" s="14">
        <v>8</v>
      </c>
      <c r="H12" s="14" t="s">
        <v>231</v>
      </c>
      <c r="I12" s="14">
        <v>609</v>
      </c>
      <c r="J12" s="12">
        <v>9</v>
      </c>
      <c r="K12" s="12">
        <v>0</v>
      </c>
      <c r="L12" s="15">
        <f>K12*10000+J12*10000</f>
        <v>90000</v>
      </c>
      <c r="M12" s="30">
        <f>(J12+K12)*30</f>
        <v>270</v>
      </c>
      <c r="N12" s="12">
        <f>J12+K12</f>
        <v>9</v>
      </c>
      <c r="O12" s="15">
        <f>K12*9950+21900*J12</f>
        <v>197100</v>
      </c>
      <c r="P12" s="16">
        <v>305</v>
      </c>
      <c r="Q12" s="15">
        <f>900*P12</f>
        <v>274500</v>
      </c>
      <c r="R12" s="42">
        <f>L12+O12+Q12</f>
        <v>561600</v>
      </c>
      <c r="S12" s="12">
        <v>2022</v>
      </c>
    </row>
    <row r="13" spans="1:19" s="17" customFormat="1" x14ac:dyDescent="0.2">
      <c r="A13" s="12" t="s">
        <v>18</v>
      </c>
      <c r="B13" s="12" t="s">
        <v>191</v>
      </c>
      <c r="C13" s="12">
        <v>41</v>
      </c>
      <c r="D13" s="12">
        <v>39</v>
      </c>
      <c r="E13" s="12">
        <v>349</v>
      </c>
      <c r="F13" s="13">
        <f>E13/C13</f>
        <v>8.5121951219512191</v>
      </c>
      <c r="G13" s="14">
        <v>10</v>
      </c>
      <c r="H13" s="14" t="s">
        <v>230</v>
      </c>
      <c r="I13" s="14">
        <v>7288</v>
      </c>
      <c r="J13" s="12">
        <v>27</v>
      </c>
      <c r="K13" s="12">
        <v>8</v>
      </c>
      <c r="L13" s="15">
        <f>K13*10000+J13*10000</f>
        <v>350000</v>
      </c>
      <c r="M13" s="30">
        <f>(J13+K13)*80</f>
        <v>2800</v>
      </c>
      <c r="N13" s="12">
        <f>J13+K13</f>
        <v>35</v>
      </c>
      <c r="O13" s="15">
        <f>K13*9950+21900*J13</f>
        <v>670900</v>
      </c>
      <c r="P13" s="16">
        <v>1018</v>
      </c>
      <c r="Q13" s="15">
        <f>900*P13</f>
        <v>916200</v>
      </c>
      <c r="R13" s="22">
        <f>L13+O13+Q13</f>
        <v>1937100</v>
      </c>
      <c r="S13" s="12">
        <v>2022</v>
      </c>
    </row>
    <row r="14" spans="1:19" s="17" customFormat="1" x14ac:dyDescent="0.2">
      <c r="A14" s="12" t="s">
        <v>134</v>
      </c>
      <c r="B14" s="12">
        <v>16</v>
      </c>
      <c r="C14" s="12">
        <v>17</v>
      </c>
      <c r="D14" s="12">
        <v>15</v>
      </c>
      <c r="E14" s="12">
        <v>153</v>
      </c>
      <c r="F14" s="13">
        <f>E14/C14</f>
        <v>9</v>
      </c>
      <c r="G14" s="14" t="s">
        <v>223</v>
      </c>
      <c r="H14" s="14" t="s">
        <v>237</v>
      </c>
      <c r="I14" s="14">
        <v>1411</v>
      </c>
      <c r="J14" s="12">
        <v>9</v>
      </c>
      <c r="K14" s="12">
        <v>0</v>
      </c>
      <c r="L14" s="15">
        <f>3*10000+6*7000</f>
        <v>72000</v>
      </c>
      <c r="M14" s="30">
        <f>3*30+6*15</f>
        <v>180</v>
      </c>
      <c r="N14" s="12">
        <f>J14+K14</f>
        <v>9</v>
      </c>
      <c r="O14" s="15">
        <f>3*21900+6*9950</f>
        <v>125400</v>
      </c>
      <c r="P14" s="16">
        <v>247</v>
      </c>
      <c r="Q14" s="15">
        <f>900*P14</f>
        <v>222300</v>
      </c>
      <c r="R14" s="42">
        <f>L14+O14+Q14</f>
        <v>419700</v>
      </c>
      <c r="S14" s="12">
        <v>2022</v>
      </c>
    </row>
    <row r="15" spans="1:19" s="17" customFormat="1" x14ac:dyDescent="0.2">
      <c r="A15" s="12" t="s">
        <v>118</v>
      </c>
      <c r="B15" s="12">
        <v>15</v>
      </c>
      <c r="C15" s="12">
        <v>5</v>
      </c>
      <c r="D15" s="12">
        <v>2</v>
      </c>
      <c r="E15" s="12">
        <v>15</v>
      </c>
      <c r="F15" s="13">
        <f>E15/C15</f>
        <v>3</v>
      </c>
      <c r="G15" s="14">
        <v>10</v>
      </c>
      <c r="H15" s="14" t="s">
        <v>239</v>
      </c>
      <c r="I15" s="14">
        <v>250</v>
      </c>
      <c r="J15" s="12">
        <v>0</v>
      </c>
      <c r="K15" s="12">
        <v>0</v>
      </c>
      <c r="L15" s="15">
        <v>0</v>
      </c>
      <c r="M15" s="30">
        <v>250</v>
      </c>
      <c r="N15" s="12">
        <v>0</v>
      </c>
      <c r="O15" s="15">
        <v>0</v>
      </c>
      <c r="P15" s="16">
        <v>106</v>
      </c>
      <c r="Q15" s="15">
        <f>900*P15</f>
        <v>95400</v>
      </c>
      <c r="R15" s="22">
        <f>L15+O15+Q15</f>
        <v>95400</v>
      </c>
      <c r="S15" s="12">
        <v>2022</v>
      </c>
    </row>
    <row r="16" spans="1:19" s="17" customFormat="1" x14ac:dyDescent="0.2">
      <c r="A16" s="34" t="s">
        <v>112</v>
      </c>
      <c r="B16" s="12">
        <v>16</v>
      </c>
      <c r="C16" s="12">
        <v>3</v>
      </c>
      <c r="D16" s="12">
        <v>3</v>
      </c>
      <c r="E16" s="12">
        <v>39</v>
      </c>
      <c r="F16" s="13">
        <f>E16/C16</f>
        <v>13</v>
      </c>
      <c r="G16" s="14">
        <v>10</v>
      </c>
      <c r="H16" s="14" t="s">
        <v>236</v>
      </c>
      <c r="I16" s="14">
        <v>249</v>
      </c>
      <c r="J16" s="12">
        <v>5</v>
      </c>
      <c r="K16" s="12">
        <v>0</v>
      </c>
      <c r="L16" s="15">
        <f>K16*10000+J16*10000</f>
        <v>50000</v>
      </c>
      <c r="M16" s="30">
        <f>(J16+K16)*30</f>
        <v>150</v>
      </c>
      <c r="N16" s="12">
        <f>J16+K16</f>
        <v>5</v>
      </c>
      <c r="O16" s="15">
        <f>K16*9950+21900*J16</f>
        <v>109500</v>
      </c>
      <c r="P16" s="16">
        <v>164</v>
      </c>
      <c r="Q16" s="15">
        <f>900*P16</f>
        <v>147600</v>
      </c>
      <c r="R16" s="42">
        <f>L16+O16+Q16</f>
        <v>307100</v>
      </c>
      <c r="S16" s="12">
        <v>2022</v>
      </c>
    </row>
    <row r="17" spans="1:19" s="17" customFormat="1" x14ac:dyDescent="0.2">
      <c r="A17" s="34" t="s">
        <v>96</v>
      </c>
      <c r="B17" s="12">
        <v>18</v>
      </c>
      <c r="C17" s="12">
        <v>4</v>
      </c>
      <c r="D17" s="12">
        <v>4</v>
      </c>
      <c r="E17" s="12">
        <v>47</v>
      </c>
      <c r="F17" s="13">
        <f>E17/C17</f>
        <v>11.75</v>
      </c>
      <c r="G17" s="14">
        <v>8</v>
      </c>
      <c r="H17" s="14" t="s">
        <v>231</v>
      </c>
      <c r="I17" s="14">
        <v>332</v>
      </c>
      <c r="J17" s="12">
        <v>7</v>
      </c>
      <c r="K17" s="12">
        <v>0</v>
      </c>
      <c r="L17" s="15">
        <f>K17*10000+J17*10000</f>
        <v>70000</v>
      </c>
      <c r="M17" s="30">
        <f>(J17+K17)*20</f>
        <v>140</v>
      </c>
      <c r="N17" s="12">
        <f>J17+K17</f>
        <v>7</v>
      </c>
      <c r="O17" s="15">
        <f>K17*9950+21900*J17</f>
        <v>153300</v>
      </c>
      <c r="P17" s="16">
        <v>224</v>
      </c>
      <c r="Q17" s="15">
        <f>900*P17</f>
        <v>201600</v>
      </c>
      <c r="R17" s="22">
        <f>L17+O17+Q17</f>
        <v>424900</v>
      </c>
      <c r="S17" s="12">
        <v>2022</v>
      </c>
    </row>
    <row r="18" spans="1:19" s="17" customFormat="1" x14ac:dyDescent="0.2">
      <c r="A18" s="12" t="s">
        <v>81</v>
      </c>
      <c r="B18" s="12">
        <v>4</v>
      </c>
      <c r="C18" s="12">
        <v>10</v>
      </c>
      <c r="D18" s="12">
        <v>10</v>
      </c>
      <c r="E18" s="12">
        <v>10</v>
      </c>
      <c r="F18" s="13">
        <f>E18/C18</f>
        <v>1</v>
      </c>
      <c r="G18" s="14">
        <v>8</v>
      </c>
      <c r="H18" s="14" t="s">
        <v>231</v>
      </c>
      <c r="I18" s="14">
        <v>280</v>
      </c>
      <c r="J18" s="12">
        <v>0</v>
      </c>
      <c r="K18" s="12">
        <v>0</v>
      </c>
      <c r="L18" s="15">
        <f>K18*10000+J18*10000</f>
        <v>0</v>
      </c>
      <c r="M18" s="30">
        <v>280</v>
      </c>
      <c r="N18" s="12">
        <f>J18+K18</f>
        <v>0</v>
      </c>
      <c r="O18" s="15">
        <f>K18*9950+21900*J18</f>
        <v>0</v>
      </c>
      <c r="P18" s="16">
        <v>272</v>
      </c>
      <c r="Q18" s="15">
        <f>900*P18</f>
        <v>244800</v>
      </c>
      <c r="R18" s="28">
        <f>L18+O18+Q18</f>
        <v>244800</v>
      </c>
      <c r="S18" s="12">
        <v>2023</v>
      </c>
    </row>
    <row r="19" spans="1:19" s="17" customFormat="1" x14ac:dyDescent="0.2">
      <c r="A19" s="34" t="s">
        <v>86</v>
      </c>
      <c r="B19" s="12">
        <v>5</v>
      </c>
      <c r="C19" s="12">
        <v>5</v>
      </c>
      <c r="D19" s="12">
        <v>5</v>
      </c>
      <c r="E19" s="12">
        <v>67</v>
      </c>
      <c r="F19" s="13">
        <f>E19/C19</f>
        <v>13.4</v>
      </c>
      <c r="G19" s="14">
        <v>8</v>
      </c>
      <c r="H19" s="14" t="s">
        <v>231</v>
      </c>
      <c r="I19" s="14">
        <v>763</v>
      </c>
      <c r="J19" s="12">
        <v>9</v>
      </c>
      <c r="K19" s="12">
        <v>0</v>
      </c>
      <c r="L19" s="15">
        <f>K19*10000+J19*10000</f>
        <v>90000</v>
      </c>
      <c r="M19" s="30">
        <f>(J19+K19)*30</f>
        <v>270</v>
      </c>
      <c r="N19" s="12">
        <f>J19+K19</f>
        <v>9</v>
      </c>
      <c r="O19" s="15">
        <f>K19*9950+21900*J19</f>
        <v>197100</v>
      </c>
      <c r="P19" s="16">
        <v>301</v>
      </c>
      <c r="Q19" s="15">
        <f>900*P19</f>
        <v>270900</v>
      </c>
      <c r="R19" s="28">
        <f>L19+O19+Q19</f>
        <v>558000</v>
      </c>
      <c r="S19" s="12">
        <v>2023</v>
      </c>
    </row>
    <row r="20" spans="1:19" s="17" customFormat="1" x14ac:dyDescent="0.2">
      <c r="A20" s="12" t="s">
        <v>51</v>
      </c>
      <c r="B20" s="12">
        <v>8</v>
      </c>
      <c r="C20" s="12">
        <v>7</v>
      </c>
      <c r="D20" s="12">
        <v>7</v>
      </c>
      <c r="E20" s="12">
        <v>14</v>
      </c>
      <c r="F20" s="13">
        <f>E20/C20</f>
        <v>2</v>
      </c>
      <c r="G20" s="14">
        <v>8</v>
      </c>
      <c r="H20" s="14" t="s">
        <v>231</v>
      </c>
      <c r="I20" s="14">
        <v>581</v>
      </c>
      <c r="J20" s="12">
        <v>6</v>
      </c>
      <c r="K20" s="12">
        <v>0</v>
      </c>
      <c r="L20" s="15">
        <f>K20*10000+J20*10000</f>
        <v>60000</v>
      </c>
      <c r="M20" s="30">
        <f>3*25+3*30</f>
        <v>165</v>
      </c>
      <c r="N20" s="12">
        <f>J20+K20</f>
        <v>6</v>
      </c>
      <c r="O20" s="15">
        <f>K20*9950+21900*J20</f>
        <v>131400</v>
      </c>
      <c r="P20" s="16">
        <v>146</v>
      </c>
      <c r="Q20" s="15">
        <f>900*P20</f>
        <v>131400</v>
      </c>
      <c r="R20" s="28">
        <f>L20+O20+Q20</f>
        <v>322800</v>
      </c>
      <c r="S20" s="12">
        <v>2023</v>
      </c>
    </row>
    <row r="21" spans="1:19" s="17" customFormat="1" x14ac:dyDescent="0.2">
      <c r="A21" s="12" t="s">
        <v>28</v>
      </c>
      <c r="B21" s="12">
        <v>14.18</v>
      </c>
      <c r="C21" s="12">
        <v>40</v>
      </c>
      <c r="D21" s="12">
        <v>38</v>
      </c>
      <c r="E21" s="12">
        <v>175</v>
      </c>
      <c r="F21" s="13">
        <f>E21/C21</f>
        <v>4.375</v>
      </c>
      <c r="G21" s="14" t="s">
        <v>213</v>
      </c>
      <c r="H21" s="14" t="s">
        <v>234</v>
      </c>
      <c r="I21" s="14">
        <v>6155</v>
      </c>
      <c r="J21" s="12">
        <v>30</v>
      </c>
      <c r="K21" s="12">
        <v>0</v>
      </c>
      <c r="L21" s="15">
        <f>K21*10000+J21*10000</f>
        <v>300000</v>
      </c>
      <c r="M21" s="30">
        <f>26*50+4*30</f>
        <v>1420</v>
      </c>
      <c r="N21" s="12">
        <f>J21+K21</f>
        <v>30</v>
      </c>
      <c r="O21" s="15">
        <f>K21*9950+21900*J21</f>
        <v>657000</v>
      </c>
      <c r="P21" s="16">
        <v>1148</v>
      </c>
      <c r="Q21" s="15">
        <f>900*P21</f>
        <v>1033200</v>
      </c>
      <c r="R21" s="28">
        <f>L21+O21+Q21</f>
        <v>1990200</v>
      </c>
      <c r="S21" s="12">
        <v>2023</v>
      </c>
    </row>
    <row r="22" spans="1:19" s="17" customFormat="1" x14ac:dyDescent="0.2">
      <c r="A22" s="34" t="s">
        <v>17</v>
      </c>
      <c r="B22" s="12">
        <v>7</v>
      </c>
      <c r="C22" s="12">
        <v>1</v>
      </c>
      <c r="D22" s="12">
        <v>1</v>
      </c>
      <c r="E22" s="12">
        <v>7</v>
      </c>
      <c r="F22" s="13">
        <f>E22/C22</f>
        <v>7</v>
      </c>
      <c r="G22" s="14">
        <v>8</v>
      </c>
      <c r="H22" s="14" t="s">
        <v>231</v>
      </c>
      <c r="I22" s="14">
        <v>170</v>
      </c>
      <c r="J22" s="12">
        <v>4</v>
      </c>
      <c r="K22" s="12">
        <v>0</v>
      </c>
      <c r="L22" s="15">
        <f>K22*10000+J22*10000</f>
        <v>40000</v>
      </c>
      <c r="M22" s="30">
        <f>(J22+K22)*30</f>
        <v>120</v>
      </c>
      <c r="N22" s="12">
        <f>J22+K22</f>
        <v>4</v>
      </c>
      <c r="O22" s="15">
        <f>K22*9950+21900*J22</f>
        <v>87600</v>
      </c>
      <c r="P22" s="16">
        <v>119</v>
      </c>
      <c r="Q22" s="15">
        <f>900*P22</f>
        <v>107100</v>
      </c>
      <c r="R22" s="28">
        <f>L22+O22+Q22</f>
        <v>234700</v>
      </c>
      <c r="S22" s="12">
        <v>2023</v>
      </c>
    </row>
    <row r="23" spans="1:19" s="17" customFormat="1" x14ac:dyDescent="0.2">
      <c r="A23" s="12" t="s">
        <v>26</v>
      </c>
      <c r="B23" s="12">
        <v>12</v>
      </c>
      <c r="C23" s="12">
        <v>8</v>
      </c>
      <c r="D23" s="12">
        <v>8</v>
      </c>
      <c r="E23" s="12">
        <v>71</v>
      </c>
      <c r="F23" s="13">
        <f>E23/C23</f>
        <v>8.875</v>
      </c>
      <c r="G23" s="14">
        <v>8</v>
      </c>
      <c r="H23" s="14" t="s">
        <v>231</v>
      </c>
      <c r="I23" s="14">
        <v>505</v>
      </c>
      <c r="J23" s="12">
        <v>9</v>
      </c>
      <c r="K23" s="12">
        <v>0</v>
      </c>
      <c r="L23" s="15">
        <f>K23*10000+J23*10000</f>
        <v>90000</v>
      </c>
      <c r="M23" s="30">
        <f>(J23+K23)*30</f>
        <v>270</v>
      </c>
      <c r="N23" s="12">
        <f>J23+K23</f>
        <v>9</v>
      </c>
      <c r="O23" s="15">
        <f>K23*9950+21900*J23</f>
        <v>197100</v>
      </c>
      <c r="P23" s="16">
        <v>297</v>
      </c>
      <c r="Q23" s="15">
        <f>900*P23</f>
        <v>267300</v>
      </c>
      <c r="R23" s="23">
        <f>L23+O23+Q23</f>
        <v>554400</v>
      </c>
      <c r="S23" s="12">
        <v>2023</v>
      </c>
    </row>
    <row r="24" spans="1:19" s="17" customFormat="1" x14ac:dyDescent="0.2">
      <c r="A24" s="34" t="s">
        <v>116</v>
      </c>
      <c r="B24" s="12">
        <v>13</v>
      </c>
      <c r="C24" s="12">
        <v>5</v>
      </c>
      <c r="D24" s="12">
        <v>5</v>
      </c>
      <c r="E24" s="12">
        <v>41</v>
      </c>
      <c r="F24" s="13">
        <f>E24/C24</f>
        <v>8.1999999999999993</v>
      </c>
      <c r="G24" s="14">
        <v>8</v>
      </c>
      <c r="H24" s="14" t="s">
        <v>231</v>
      </c>
      <c r="I24" s="14">
        <v>676</v>
      </c>
      <c r="J24" s="12">
        <v>8</v>
      </c>
      <c r="K24" s="12">
        <v>0</v>
      </c>
      <c r="L24" s="15">
        <f>K24*10000+J24*10000</f>
        <v>80000</v>
      </c>
      <c r="M24" s="30">
        <f>3*25+5*20</f>
        <v>175</v>
      </c>
      <c r="N24" s="12">
        <f>J24+K24</f>
        <v>8</v>
      </c>
      <c r="O24" s="15">
        <f>K24*9950+21900*J24</f>
        <v>175200</v>
      </c>
      <c r="P24" s="16">
        <v>224</v>
      </c>
      <c r="Q24" s="15">
        <f>900*P24</f>
        <v>201600</v>
      </c>
      <c r="R24" s="28">
        <f>L24+O24+Q24</f>
        <v>456800</v>
      </c>
      <c r="S24" s="12">
        <v>2023</v>
      </c>
    </row>
    <row r="25" spans="1:19" s="17" customFormat="1" x14ac:dyDescent="0.2">
      <c r="A25" s="12" t="s">
        <v>73</v>
      </c>
      <c r="B25" s="12">
        <v>2</v>
      </c>
      <c r="C25" s="12">
        <v>15</v>
      </c>
      <c r="D25" s="12">
        <v>15</v>
      </c>
      <c r="E25" s="12">
        <v>155</v>
      </c>
      <c r="F25" s="13">
        <f>E25/C25</f>
        <v>10.333333333333334</v>
      </c>
      <c r="G25" s="14">
        <v>10</v>
      </c>
      <c r="H25" s="14" t="s">
        <v>230</v>
      </c>
      <c r="I25" s="14">
        <v>2463</v>
      </c>
      <c r="J25" s="12">
        <v>18</v>
      </c>
      <c r="K25" s="12">
        <v>0</v>
      </c>
      <c r="L25" s="15">
        <f>K25*10000+J25*10000</f>
        <v>180000</v>
      </c>
      <c r="M25" s="30">
        <f>(J25+K25)*30</f>
        <v>540</v>
      </c>
      <c r="N25" s="12">
        <f>J25+K25</f>
        <v>18</v>
      </c>
      <c r="O25" s="15">
        <f>K25*9950+21900*J25</f>
        <v>394200</v>
      </c>
      <c r="P25" s="16">
        <v>700</v>
      </c>
      <c r="Q25" s="15">
        <f>900*P25</f>
        <v>630000</v>
      </c>
      <c r="R25" s="28">
        <f>L25+O25+Q25</f>
        <v>1204200</v>
      </c>
      <c r="S25" s="12">
        <v>2023</v>
      </c>
    </row>
    <row r="26" spans="1:19" s="17" customFormat="1" x14ac:dyDescent="0.2">
      <c r="A26" s="12" t="s">
        <v>76</v>
      </c>
      <c r="B26" s="12">
        <v>2</v>
      </c>
      <c r="C26" s="12">
        <v>3</v>
      </c>
      <c r="D26" s="12">
        <v>3</v>
      </c>
      <c r="E26" s="12">
        <v>26</v>
      </c>
      <c r="F26" s="13">
        <f>E26/C26</f>
        <v>8.6666666666666661</v>
      </c>
      <c r="G26" s="14">
        <v>8</v>
      </c>
      <c r="H26" s="14" t="s">
        <v>231</v>
      </c>
      <c r="I26" s="14">
        <v>249</v>
      </c>
      <c r="J26" s="12">
        <v>4</v>
      </c>
      <c r="K26" s="12">
        <v>0</v>
      </c>
      <c r="L26" s="15">
        <f>K26*10000+J26*10000</f>
        <v>40000</v>
      </c>
      <c r="M26" s="30">
        <f>(J26+K26)*25</f>
        <v>100</v>
      </c>
      <c r="N26" s="12">
        <f>J26+K26</f>
        <v>4</v>
      </c>
      <c r="O26" s="15">
        <f>K26*9950+21900*J26</f>
        <v>87600</v>
      </c>
      <c r="P26" s="16">
        <v>98</v>
      </c>
      <c r="Q26" s="15">
        <f>900*P26</f>
        <v>88200</v>
      </c>
      <c r="R26" s="28">
        <f>L26+O26+Q26</f>
        <v>215800</v>
      </c>
      <c r="S26" s="12">
        <v>2023</v>
      </c>
    </row>
    <row r="27" spans="1:19" s="17" customFormat="1" x14ac:dyDescent="0.2">
      <c r="A27" s="12" t="s">
        <v>41</v>
      </c>
      <c r="B27" s="12">
        <v>3.4</v>
      </c>
      <c r="C27" s="12">
        <v>15</v>
      </c>
      <c r="D27" s="12">
        <v>15</v>
      </c>
      <c r="E27" s="12">
        <v>161</v>
      </c>
      <c r="F27" s="13">
        <f>E27/C27</f>
        <v>10.733333333333333</v>
      </c>
      <c r="G27" s="14">
        <v>10</v>
      </c>
      <c r="H27" s="14" t="s">
        <v>230</v>
      </c>
      <c r="I27" s="14">
        <v>1192</v>
      </c>
      <c r="J27" s="12">
        <v>15</v>
      </c>
      <c r="K27" s="12">
        <v>0</v>
      </c>
      <c r="L27" s="15">
        <f>K27*10000+J27*10000</f>
        <v>150000</v>
      </c>
      <c r="M27" s="30">
        <f>(J27+K27)*30</f>
        <v>450</v>
      </c>
      <c r="N27" s="12">
        <f>J27+K27</f>
        <v>15</v>
      </c>
      <c r="O27" s="15">
        <f>K27*9950+21900*J27</f>
        <v>328500</v>
      </c>
      <c r="P27" s="16">
        <v>560</v>
      </c>
      <c r="Q27" s="15">
        <f>900*P27</f>
        <v>504000</v>
      </c>
      <c r="R27" s="28">
        <f>L27+O27+Q27</f>
        <v>982500</v>
      </c>
      <c r="S27" s="12">
        <v>2023</v>
      </c>
    </row>
    <row r="28" spans="1:19" s="17" customFormat="1" x14ac:dyDescent="0.2">
      <c r="A28" s="12" t="s">
        <v>38</v>
      </c>
      <c r="B28" s="12">
        <v>3</v>
      </c>
      <c r="C28" s="12">
        <v>7</v>
      </c>
      <c r="D28" s="12">
        <v>7</v>
      </c>
      <c r="E28" s="12">
        <v>14</v>
      </c>
      <c r="F28" s="13">
        <f>E28/C28</f>
        <v>2</v>
      </c>
      <c r="G28" s="14">
        <v>8</v>
      </c>
      <c r="H28" s="14" t="s">
        <v>231</v>
      </c>
      <c r="I28" s="14">
        <v>581</v>
      </c>
      <c r="J28" s="12">
        <v>8</v>
      </c>
      <c r="K28" s="12">
        <v>0</v>
      </c>
      <c r="L28" s="15">
        <f>K28*10000+J28*10000</f>
        <v>80000</v>
      </c>
      <c r="M28" s="30">
        <f>(J28+K28)*20</f>
        <v>160</v>
      </c>
      <c r="N28" s="12">
        <f>J28+K28</f>
        <v>8</v>
      </c>
      <c r="O28" s="15">
        <f>K28*9950+21900*J28</f>
        <v>175200</v>
      </c>
      <c r="P28" s="16">
        <v>251</v>
      </c>
      <c r="Q28" s="15">
        <f>900*P28</f>
        <v>225900</v>
      </c>
      <c r="R28" s="28">
        <f>L28+O28+Q28</f>
        <v>481100</v>
      </c>
      <c r="S28" s="12">
        <v>2023</v>
      </c>
    </row>
    <row r="29" spans="1:19" s="17" customFormat="1" x14ac:dyDescent="0.2">
      <c r="A29" s="12" t="s">
        <v>90</v>
      </c>
      <c r="B29" s="12">
        <v>7</v>
      </c>
      <c r="C29" s="12">
        <v>8</v>
      </c>
      <c r="D29" s="12">
        <v>7</v>
      </c>
      <c r="E29" s="12">
        <v>83</v>
      </c>
      <c r="F29" s="13">
        <f>E29/C29</f>
        <v>10.375</v>
      </c>
      <c r="G29" s="14">
        <v>10</v>
      </c>
      <c r="H29" s="14" t="s">
        <v>230</v>
      </c>
      <c r="I29" s="14">
        <v>1230</v>
      </c>
      <c r="J29" s="12">
        <v>8</v>
      </c>
      <c r="K29" s="12">
        <v>0</v>
      </c>
      <c r="L29" s="15">
        <f>K29*10000+J29*10000</f>
        <v>80000</v>
      </c>
      <c r="M29" s="30">
        <f>(J29+K29)*50</f>
        <v>400</v>
      </c>
      <c r="N29" s="12">
        <f>J29+K29</f>
        <v>8</v>
      </c>
      <c r="O29" s="15">
        <f>K29*9950+21900*J29</f>
        <v>175200</v>
      </c>
      <c r="P29" s="16">
        <v>312</v>
      </c>
      <c r="Q29" s="15">
        <f>900*P29</f>
        <v>280800</v>
      </c>
      <c r="R29" s="28">
        <f>L29+O29+Q29</f>
        <v>536000</v>
      </c>
      <c r="S29" s="12">
        <v>2023</v>
      </c>
    </row>
    <row r="30" spans="1:19" s="17" customFormat="1" x14ac:dyDescent="0.2">
      <c r="A30" s="12" t="s">
        <v>138</v>
      </c>
      <c r="B30" s="12">
        <v>1</v>
      </c>
      <c r="C30" s="12">
        <v>7</v>
      </c>
      <c r="D30" s="12">
        <v>7</v>
      </c>
      <c r="E30" s="12">
        <v>63</v>
      </c>
      <c r="F30" s="13">
        <f>E30/C30</f>
        <v>9</v>
      </c>
      <c r="G30" s="14">
        <v>8</v>
      </c>
      <c r="H30" s="14" t="s">
        <v>231</v>
      </c>
      <c r="I30" s="14">
        <v>581</v>
      </c>
      <c r="J30" s="12">
        <v>11</v>
      </c>
      <c r="K30" s="12">
        <v>0</v>
      </c>
      <c r="L30" s="15">
        <f>K30*10000+J30*10000</f>
        <v>110000</v>
      </c>
      <c r="M30" s="30">
        <f>(J30+K30)*15</f>
        <v>165</v>
      </c>
      <c r="N30" s="12">
        <f>J30+K30</f>
        <v>11</v>
      </c>
      <c r="O30" s="15">
        <f>K30*9950+21900*J30</f>
        <v>240900</v>
      </c>
      <c r="P30" s="16">
        <v>291</v>
      </c>
      <c r="Q30" s="15">
        <f>900*P30</f>
        <v>261900</v>
      </c>
      <c r="R30" s="28">
        <f>L30+O30+Q30</f>
        <v>612800</v>
      </c>
      <c r="S30" s="12">
        <v>2023</v>
      </c>
    </row>
    <row r="31" spans="1:19" s="17" customFormat="1" x14ac:dyDescent="0.2">
      <c r="A31" s="12" t="s">
        <v>39</v>
      </c>
      <c r="B31" s="12">
        <v>3</v>
      </c>
      <c r="C31" s="12">
        <v>7</v>
      </c>
      <c r="D31" s="12">
        <v>7</v>
      </c>
      <c r="E31" s="12">
        <v>14</v>
      </c>
      <c r="F31" s="13">
        <f>E31/C31</f>
        <v>2</v>
      </c>
      <c r="G31" s="14">
        <v>8</v>
      </c>
      <c r="H31" s="14" t="s">
        <v>231</v>
      </c>
      <c r="I31" s="14">
        <v>581</v>
      </c>
      <c r="J31" s="12">
        <v>8</v>
      </c>
      <c r="K31" s="12">
        <v>0</v>
      </c>
      <c r="L31" s="15">
        <f>K31*10000+J31*10000</f>
        <v>80000</v>
      </c>
      <c r="M31" s="30">
        <f>(J31+K31)*20</f>
        <v>160</v>
      </c>
      <c r="N31" s="12">
        <f>J31+K31</f>
        <v>8</v>
      </c>
      <c r="O31" s="15">
        <f>K31*9950+21900*J31</f>
        <v>175200</v>
      </c>
      <c r="P31" s="16">
        <v>255</v>
      </c>
      <c r="Q31" s="15">
        <f>900*P31</f>
        <v>229500</v>
      </c>
      <c r="R31" s="28">
        <f>L31+O31+Q31</f>
        <v>484700</v>
      </c>
      <c r="S31" s="12">
        <v>2023</v>
      </c>
    </row>
    <row r="32" spans="1:19" s="17" customFormat="1" x14ac:dyDescent="0.2">
      <c r="A32" s="12" t="s">
        <v>135</v>
      </c>
      <c r="B32" s="12">
        <v>13</v>
      </c>
      <c r="C32" s="12">
        <v>3</v>
      </c>
      <c r="D32" s="12">
        <v>3</v>
      </c>
      <c r="E32" s="12">
        <v>30</v>
      </c>
      <c r="F32" s="13">
        <f>E32/C32</f>
        <v>10</v>
      </c>
      <c r="G32" s="14">
        <v>8</v>
      </c>
      <c r="H32" s="14" t="s">
        <v>231</v>
      </c>
      <c r="I32" s="14">
        <v>249</v>
      </c>
      <c r="J32" s="12">
        <v>3</v>
      </c>
      <c r="K32" s="12">
        <v>0</v>
      </c>
      <c r="L32" s="15">
        <f>K32*10000+J32*10000</f>
        <v>30000</v>
      </c>
      <c r="M32" s="30">
        <f>(J32+K32)*15</f>
        <v>45</v>
      </c>
      <c r="N32" s="12">
        <f>J32+K32</f>
        <v>3</v>
      </c>
      <c r="O32" s="15">
        <f>K32*9950+21900*J32</f>
        <v>65700</v>
      </c>
      <c r="P32" s="16">
        <v>74</v>
      </c>
      <c r="Q32" s="15">
        <f>900*P32</f>
        <v>66600</v>
      </c>
      <c r="R32" s="23">
        <f>L32+O32+Q32</f>
        <v>162300</v>
      </c>
      <c r="S32" s="12">
        <v>2023</v>
      </c>
    </row>
    <row r="33" spans="1:19" s="17" customFormat="1" x14ac:dyDescent="0.2">
      <c r="A33" s="12" t="s">
        <v>79</v>
      </c>
      <c r="B33" s="12">
        <v>1</v>
      </c>
      <c r="C33" s="12">
        <v>3</v>
      </c>
      <c r="D33" s="12">
        <v>3</v>
      </c>
      <c r="E33" s="12">
        <v>26</v>
      </c>
      <c r="F33" s="13">
        <f>E33/C33</f>
        <v>8.6666666666666661</v>
      </c>
      <c r="G33" s="14">
        <v>8</v>
      </c>
      <c r="H33" s="14" t="s">
        <v>231</v>
      </c>
      <c r="I33" s="14">
        <v>249</v>
      </c>
      <c r="J33" s="12">
        <v>5</v>
      </c>
      <c r="K33" s="12">
        <v>0</v>
      </c>
      <c r="L33" s="15">
        <f>K33*10000+J33*10000</f>
        <v>50000</v>
      </c>
      <c r="M33" s="30">
        <f>(J33+K33)*30</f>
        <v>150</v>
      </c>
      <c r="N33" s="12">
        <f>J33+K33</f>
        <v>5</v>
      </c>
      <c r="O33" s="15">
        <f>K33*9950+21900*J33</f>
        <v>109500</v>
      </c>
      <c r="P33" s="16">
        <v>132</v>
      </c>
      <c r="Q33" s="15">
        <f>900*P33</f>
        <v>118800</v>
      </c>
      <c r="R33" s="28">
        <f>L33+O33+Q33</f>
        <v>278300</v>
      </c>
      <c r="S33" s="12">
        <v>2023</v>
      </c>
    </row>
    <row r="34" spans="1:19" s="17" customFormat="1" x14ac:dyDescent="0.2">
      <c r="A34" s="12" t="s">
        <v>37</v>
      </c>
      <c r="B34" s="12">
        <v>3.6</v>
      </c>
      <c r="C34" s="12">
        <v>13</v>
      </c>
      <c r="D34" s="12">
        <v>13</v>
      </c>
      <c r="E34" s="12">
        <v>39</v>
      </c>
      <c r="F34" s="13">
        <f>E34/C34</f>
        <v>3</v>
      </c>
      <c r="G34" s="14">
        <v>10</v>
      </c>
      <c r="H34" s="14" t="s">
        <v>230</v>
      </c>
      <c r="I34" s="14">
        <v>1949</v>
      </c>
      <c r="J34" s="12">
        <v>12</v>
      </c>
      <c r="K34" s="12">
        <v>0</v>
      </c>
      <c r="L34" s="15">
        <f>K34*10000+J34*10000</f>
        <v>120000</v>
      </c>
      <c r="M34" s="30">
        <f>(J34+K34)*50</f>
        <v>600</v>
      </c>
      <c r="N34" s="12">
        <f>J34+K34</f>
        <v>12</v>
      </c>
      <c r="O34" s="15">
        <f>K34*9950+21900*J34</f>
        <v>262800</v>
      </c>
      <c r="P34" s="16">
        <v>439</v>
      </c>
      <c r="Q34" s="15">
        <f>900*P34</f>
        <v>395100</v>
      </c>
      <c r="R34" s="28">
        <f>L34+O34+Q34</f>
        <v>777900</v>
      </c>
      <c r="S34" s="12">
        <v>2023</v>
      </c>
    </row>
    <row r="35" spans="1:19" s="17" customFormat="1" x14ac:dyDescent="0.2">
      <c r="A35" s="12" t="s">
        <v>15</v>
      </c>
      <c r="B35" s="12">
        <v>8</v>
      </c>
      <c r="C35" s="12">
        <v>4</v>
      </c>
      <c r="D35" s="12">
        <v>4</v>
      </c>
      <c r="E35" s="12">
        <v>53</v>
      </c>
      <c r="F35" s="13">
        <f>E35/C35</f>
        <v>13.25</v>
      </c>
      <c r="G35" s="14">
        <v>8</v>
      </c>
      <c r="H35" s="14" t="s">
        <v>231</v>
      </c>
      <c r="I35" s="14">
        <v>332</v>
      </c>
      <c r="J35" s="12">
        <v>9</v>
      </c>
      <c r="K35" s="12">
        <v>0</v>
      </c>
      <c r="L35" s="15">
        <f>K35*10000+J35*10000</f>
        <v>90000</v>
      </c>
      <c r="M35" s="30">
        <f>7*25+2*15</f>
        <v>205</v>
      </c>
      <c r="N35" s="12">
        <f>J35+K35</f>
        <v>9</v>
      </c>
      <c r="O35" s="15">
        <f>K35*9950+21900*J35</f>
        <v>197100</v>
      </c>
      <c r="P35" s="16">
        <v>248</v>
      </c>
      <c r="Q35" s="15">
        <f>900*P35</f>
        <v>223200</v>
      </c>
      <c r="R35" s="28">
        <f>L35+O35+Q35</f>
        <v>510300</v>
      </c>
      <c r="S35" s="12">
        <v>2023</v>
      </c>
    </row>
    <row r="36" spans="1:19" s="17" customFormat="1" x14ac:dyDescent="0.2">
      <c r="A36" s="12" t="s">
        <v>80</v>
      </c>
      <c r="B36" s="12" t="s">
        <v>188</v>
      </c>
      <c r="C36" s="12">
        <v>9</v>
      </c>
      <c r="D36" s="12">
        <v>9</v>
      </c>
      <c r="E36" s="12">
        <v>67</v>
      </c>
      <c r="F36" s="13">
        <f>E36/C36</f>
        <v>7.4444444444444446</v>
      </c>
      <c r="G36" s="14">
        <v>10</v>
      </c>
      <c r="H36" s="14" t="s">
        <v>236</v>
      </c>
      <c r="I36" s="14">
        <v>768</v>
      </c>
      <c r="J36" s="12">
        <v>17</v>
      </c>
      <c r="K36" s="12">
        <v>0</v>
      </c>
      <c r="L36" s="15">
        <f>K36*10000+J36*10000</f>
        <v>170000</v>
      </c>
      <c r="M36" s="30">
        <f>(J36+K36)*25</f>
        <v>425</v>
      </c>
      <c r="N36" s="12">
        <f>J36+K36</f>
        <v>17</v>
      </c>
      <c r="O36" s="15">
        <f>K36*9950+21900*J36</f>
        <v>372300</v>
      </c>
      <c r="P36" s="16">
        <v>497</v>
      </c>
      <c r="Q36" s="15">
        <f>900*P36</f>
        <v>447300</v>
      </c>
      <c r="R36" s="24">
        <f>L36+O36+Q36</f>
        <v>989600</v>
      </c>
      <c r="S36" s="12">
        <v>2024</v>
      </c>
    </row>
    <row r="37" spans="1:19" s="17" customFormat="1" x14ac:dyDescent="0.2">
      <c r="A37" s="12" t="s">
        <v>2</v>
      </c>
      <c r="B37" s="12">
        <v>32.33</v>
      </c>
      <c r="C37" s="12">
        <v>21</v>
      </c>
      <c r="D37" s="12">
        <v>21</v>
      </c>
      <c r="E37" s="12">
        <v>135</v>
      </c>
      <c r="F37" s="13">
        <f>E37/C37</f>
        <v>6.4285714285714288</v>
      </c>
      <c r="G37" s="14" t="s">
        <v>215</v>
      </c>
      <c r="H37" s="14" t="s">
        <v>234</v>
      </c>
      <c r="I37" s="14">
        <v>1830</v>
      </c>
      <c r="J37" s="12">
        <v>40</v>
      </c>
      <c r="K37" s="12">
        <v>0</v>
      </c>
      <c r="L37" s="15">
        <f>K37*10000+J37*10000</f>
        <v>400000</v>
      </c>
      <c r="M37" s="30">
        <f>14*40+6*25+20*20</f>
        <v>1110</v>
      </c>
      <c r="N37" s="12">
        <f>J37+K37</f>
        <v>40</v>
      </c>
      <c r="O37" s="15">
        <f>K37*9950+21900*J37</f>
        <v>876000</v>
      </c>
      <c r="P37" s="16">
        <v>1328</v>
      </c>
      <c r="Q37" s="15">
        <f>900*P37</f>
        <v>1195200</v>
      </c>
      <c r="R37" s="24">
        <f>L37+O37+Q37</f>
        <v>2471200</v>
      </c>
      <c r="S37" s="12">
        <v>2024</v>
      </c>
    </row>
    <row r="38" spans="1:19" s="17" customFormat="1" x14ac:dyDescent="0.2">
      <c r="A38" s="12" t="s">
        <v>8</v>
      </c>
      <c r="B38" s="12">
        <v>7.21</v>
      </c>
      <c r="C38" s="12">
        <v>36</v>
      </c>
      <c r="D38" s="12">
        <v>35</v>
      </c>
      <c r="E38" s="12">
        <v>268</v>
      </c>
      <c r="F38" s="13">
        <f>E38/C38</f>
        <v>7.4444444444444446</v>
      </c>
      <c r="G38" s="14">
        <v>10</v>
      </c>
      <c r="H38" s="14" t="s">
        <v>230</v>
      </c>
      <c r="I38" s="14">
        <v>5946</v>
      </c>
      <c r="J38" s="12">
        <v>32</v>
      </c>
      <c r="K38" s="12">
        <v>0</v>
      </c>
      <c r="L38" s="15">
        <f>K38*10000+J38*10000</f>
        <v>320000</v>
      </c>
      <c r="M38" s="30">
        <f>(J38+K38)*80</f>
        <v>2560</v>
      </c>
      <c r="N38" s="12">
        <f>J38+K38</f>
        <v>32</v>
      </c>
      <c r="O38" s="15">
        <f>K38*9950+21900*J38</f>
        <v>700800</v>
      </c>
      <c r="P38" s="16">
        <v>1222</v>
      </c>
      <c r="Q38" s="15">
        <f>900*P38</f>
        <v>1099800</v>
      </c>
      <c r="R38" s="24">
        <f>L38+O38+Q38</f>
        <v>2120600</v>
      </c>
      <c r="S38" s="12">
        <v>2024</v>
      </c>
    </row>
    <row r="39" spans="1:19" s="17" customFormat="1" x14ac:dyDescent="0.2">
      <c r="A39" s="34" t="s">
        <v>127</v>
      </c>
      <c r="B39" s="12">
        <v>21</v>
      </c>
      <c r="C39" s="12">
        <v>3</v>
      </c>
      <c r="D39" s="12">
        <v>3</v>
      </c>
      <c r="E39" s="12">
        <v>21</v>
      </c>
      <c r="F39" s="13">
        <f>E39/C39</f>
        <v>7</v>
      </c>
      <c r="G39" s="14">
        <v>10</v>
      </c>
      <c r="H39" s="14" t="s">
        <v>230</v>
      </c>
      <c r="I39" s="14">
        <v>510</v>
      </c>
      <c r="J39" s="12">
        <v>7</v>
      </c>
      <c r="K39" s="12">
        <v>0</v>
      </c>
      <c r="L39" s="15">
        <f>K39*10000+J39*10000</f>
        <v>70000</v>
      </c>
      <c r="M39" s="30">
        <f>(J39+K39)*40</f>
        <v>280</v>
      </c>
      <c r="N39" s="12">
        <f>J39+K39</f>
        <v>7</v>
      </c>
      <c r="O39" s="15">
        <f>K39*9950+21900*J39</f>
        <v>153300</v>
      </c>
      <c r="P39" s="16">
        <v>234</v>
      </c>
      <c r="Q39" s="15">
        <f>900*P39</f>
        <v>210600</v>
      </c>
      <c r="R39" s="24">
        <f>L39+O39+Q39</f>
        <v>433900</v>
      </c>
      <c r="S39" s="12">
        <v>2024</v>
      </c>
    </row>
    <row r="40" spans="1:19" s="17" customFormat="1" x14ac:dyDescent="0.2">
      <c r="A40" s="12" t="s">
        <v>126</v>
      </c>
      <c r="B40" s="12">
        <v>21</v>
      </c>
      <c r="C40" s="12">
        <v>10</v>
      </c>
      <c r="D40" s="12">
        <v>10</v>
      </c>
      <c r="E40" s="12">
        <v>75</v>
      </c>
      <c r="F40" s="13">
        <f>E40/C40</f>
        <v>7.5</v>
      </c>
      <c r="G40" s="14">
        <v>8</v>
      </c>
      <c r="H40" s="14" t="s">
        <v>231</v>
      </c>
      <c r="I40" s="14">
        <v>830</v>
      </c>
      <c r="J40" s="12">
        <v>11</v>
      </c>
      <c r="K40" s="12">
        <v>0</v>
      </c>
      <c r="L40" s="15">
        <f>K40*10000+J40*10000</f>
        <v>110000</v>
      </c>
      <c r="M40" s="30">
        <f>3*25+8*30</f>
        <v>315</v>
      </c>
      <c r="N40" s="12">
        <f>J40+K40</f>
        <v>11</v>
      </c>
      <c r="O40" s="15">
        <f>K40*9950+21900*J40</f>
        <v>240900</v>
      </c>
      <c r="P40" s="16">
        <v>326</v>
      </c>
      <c r="Q40" s="15">
        <f>900*P40</f>
        <v>293400</v>
      </c>
      <c r="R40" s="24">
        <f>L40+O40+Q40</f>
        <v>644300</v>
      </c>
      <c r="S40" s="12">
        <v>2024</v>
      </c>
    </row>
    <row r="41" spans="1:19" s="17" customFormat="1" x14ac:dyDescent="0.2">
      <c r="A41" s="34" t="s">
        <v>88</v>
      </c>
      <c r="B41" s="12" t="s">
        <v>192</v>
      </c>
      <c r="C41" s="12">
        <v>44</v>
      </c>
      <c r="D41" s="12">
        <v>42</v>
      </c>
      <c r="E41" s="12">
        <v>427</v>
      </c>
      <c r="F41" s="13">
        <f>E41/C41</f>
        <v>9.704545454545455</v>
      </c>
      <c r="G41" s="14">
        <v>10</v>
      </c>
      <c r="H41" s="14" t="s">
        <v>230</v>
      </c>
      <c r="I41" s="14">
        <v>8550</v>
      </c>
      <c r="J41" s="12">
        <v>56</v>
      </c>
      <c r="K41" s="12">
        <v>12</v>
      </c>
      <c r="L41" s="15">
        <f>K41*10000+J41*10000</f>
        <v>680000</v>
      </c>
      <c r="M41" s="30">
        <f>(J41+K41)*80</f>
        <v>5440</v>
      </c>
      <c r="N41" s="12">
        <f>J41+K41</f>
        <v>68</v>
      </c>
      <c r="O41" s="15">
        <f>K41*9950+21900*J41</f>
        <v>1345800</v>
      </c>
      <c r="P41" s="16">
        <v>2169</v>
      </c>
      <c r="Q41" s="15">
        <f>900*P41</f>
        <v>1952100</v>
      </c>
      <c r="R41" s="27">
        <f>L41+O41+Q41</f>
        <v>3977900</v>
      </c>
      <c r="S41" s="12">
        <v>2024</v>
      </c>
    </row>
    <row r="42" spans="1:19" s="17" customFormat="1" x14ac:dyDescent="0.2">
      <c r="A42" s="12" t="s">
        <v>14</v>
      </c>
      <c r="B42" s="12">
        <v>8</v>
      </c>
      <c r="C42" s="12">
        <v>11</v>
      </c>
      <c r="D42" s="12">
        <v>9</v>
      </c>
      <c r="E42" s="12">
        <v>70</v>
      </c>
      <c r="F42" s="13">
        <f>E42/C42</f>
        <v>6.3636363636363633</v>
      </c>
      <c r="G42" s="14" t="s">
        <v>211</v>
      </c>
      <c r="H42" s="14" t="s">
        <v>232</v>
      </c>
      <c r="I42" s="14">
        <v>1297</v>
      </c>
      <c r="J42" s="12">
        <v>9</v>
      </c>
      <c r="K42" s="12">
        <v>2</v>
      </c>
      <c r="L42" s="15">
        <f>K42*10000+2*10000+7*14000</f>
        <v>138000</v>
      </c>
      <c r="M42" s="30">
        <f>2*40+7*30+2*40</f>
        <v>370</v>
      </c>
      <c r="N42" s="12">
        <f>J42+K42</f>
        <v>11</v>
      </c>
      <c r="O42" s="15">
        <f>9950*K42+2*21900+7*30000</f>
        <v>273700</v>
      </c>
      <c r="P42" s="16">
        <v>272</v>
      </c>
      <c r="Q42" s="15">
        <f>900*P42</f>
        <v>244800</v>
      </c>
      <c r="R42" s="46">
        <f>L42+O42+Q42</f>
        <v>656500</v>
      </c>
      <c r="S42" s="12">
        <v>2025</v>
      </c>
    </row>
    <row r="43" spans="1:19" s="17" customFormat="1" x14ac:dyDescent="0.2">
      <c r="A43" s="12" t="s">
        <v>12</v>
      </c>
      <c r="B43" s="12">
        <v>8</v>
      </c>
      <c r="C43" s="12">
        <v>9</v>
      </c>
      <c r="D43" s="12">
        <v>9</v>
      </c>
      <c r="E43" s="12">
        <v>56</v>
      </c>
      <c r="F43" s="13">
        <f>E43/C43</f>
        <v>6.2222222222222223</v>
      </c>
      <c r="G43" s="14">
        <v>10</v>
      </c>
      <c r="H43" s="14" t="s">
        <v>230</v>
      </c>
      <c r="I43" s="14">
        <v>939</v>
      </c>
      <c r="J43" s="12">
        <v>7</v>
      </c>
      <c r="K43" s="12">
        <v>1</v>
      </c>
      <c r="L43" s="15">
        <f>K43*10000+J43*10000</f>
        <v>80000</v>
      </c>
      <c r="M43" s="30">
        <f>(J43+K43)*40</f>
        <v>320</v>
      </c>
      <c r="N43" s="12">
        <f>J43+K43</f>
        <v>8</v>
      </c>
      <c r="O43" s="15">
        <f>K43*9950+21900*J43</f>
        <v>163250</v>
      </c>
      <c r="P43" s="16">
        <v>236</v>
      </c>
      <c r="Q43" s="15">
        <f>900*P43</f>
        <v>212400</v>
      </c>
      <c r="R43" s="46">
        <f>L43+O43+Q43</f>
        <v>455650</v>
      </c>
      <c r="S43" s="12">
        <v>2025</v>
      </c>
    </row>
    <row r="44" spans="1:19" s="17" customFormat="1" x14ac:dyDescent="0.2">
      <c r="A44" s="12" t="s">
        <v>5</v>
      </c>
      <c r="B44" s="12">
        <v>24</v>
      </c>
      <c r="C44" s="12">
        <v>54</v>
      </c>
      <c r="D44" s="12">
        <v>54</v>
      </c>
      <c r="E44" s="12">
        <v>411</v>
      </c>
      <c r="F44" s="13">
        <f>E44/C44</f>
        <v>7.6111111111111107</v>
      </c>
      <c r="G44" s="14" t="s">
        <v>212</v>
      </c>
      <c r="H44" s="14" t="s">
        <v>234</v>
      </c>
      <c r="I44" s="14">
        <v>4429</v>
      </c>
      <c r="J44" s="12">
        <v>82</v>
      </c>
      <c r="K44" s="12">
        <v>0</v>
      </c>
      <c r="L44" s="15">
        <f>K44*10000+J44*10000</f>
        <v>820000</v>
      </c>
      <c r="M44" s="31">
        <f>39*40+43*25</f>
        <v>2635</v>
      </c>
      <c r="N44" s="12">
        <f>J44+K44</f>
        <v>82</v>
      </c>
      <c r="O44" s="15">
        <f>K44*9950+21900*J44</f>
        <v>1795800</v>
      </c>
      <c r="P44" s="16">
        <v>2675</v>
      </c>
      <c r="Q44" s="15">
        <f>900*P44</f>
        <v>2407500</v>
      </c>
      <c r="R44" s="46">
        <f>L44+O44+Q44</f>
        <v>5023300</v>
      </c>
      <c r="S44" s="12">
        <v>2025</v>
      </c>
    </row>
    <row r="45" spans="1:19" s="17" customFormat="1" x14ac:dyDescent="0.2">
      <c r="A45" s="12" t="s">
        <v>6</v>
      </c>
      <c r="B45" s="12">
        <v>23</v>
      </c>
      <c r="C45" s="12">
        <v>15</v>
      </c>
      <c r="D45" s="12">
        <v>15</v>
      </c>
      <c r="E45" s="12">
        <v>110</v>
      </c>
      <c r="F45" s="13">
        <f>E45/C45</f>
        <v>7.333333333333333</v>
      </c>
      <c r="G45" s="14">
        <v>8</v>
      </c>
      <c r="H45" s="14" t="s">
        <v>231</v>
      </c>
      <c r="I45" s="14">
        <v>1245</v>
      </c>
      <c r="J45" s="12">
        <v>26</v>
      </c>
      <c r="K45" s="12">
        <v>0</v>
      </c>
      <c r="L45" s="15">
        <f>K45*10000+J45*10000</f>
        <v>260000</v>
      </c>
      <c r="M45" s="30">
        <f>2*25+24*20</f>
        <v>530</v>
      </c>
      <c r="N45" s="12">
        <f>J45+K45</f>
        <v>26</v>
      </c>
      <c r="O45" s="15">
        <f>K45*9950+21900*J45</f>
        <v>569400</v>
      </c>
      <c r="P45" s="16">
        <v>836</v>
      </c>
      <c r="Q45" s="15">
        <f>900*P45</f>
        <v>752400</v>
      </c>
      <c r="R45" s="46">
        <f>L45+O45+Q45</f>
        <v>1581800</v>
      </c>
      <c r="S45" s="12">
        <v>2025</v>
      </c>
    </row>
    <row r="46" spans="1:19" s="17" customFormat="1" x14ac:dyDescent="0.2">
      <c r="A46" s="12" t="s">
        <v>11</v>
      </c>
      <c r="B46" s="12">
        <v>8</v>
      </c>
      <c r="C46" s="12">
        <v>22</v>
      </c>
      <c r="D46" s="12">
        <v>17</v>
      </c>
      <c r="E46" s="12">
        <v>151</v>
      </c>
      <c r="F46" s="13">
        <f>E46/C46</f>
        <v>6.8636363636363633</v>
      </c>
      <c r="G46" s="14">
        <v>10</v>
      </c>
      <c r="H46" s="14" t="s">
        <v>230</v>
      </c>
      <c r="I46" s="14">
        <v>2471</v>
      </c>
      <c r="J46" s="12">
        <v>11</v>
      </c>
      <c r="K46" s="12">
        <v>2</v>
      </c>
      <c r="L46" s="15">
        <f>K46*10000+J46*10000</f>
        <v>130000</v>
      </c>
      <c r="M46" s="30">
        <f>(J46+K46)*50</f>
        <v>650</v>
      </c>
      <c r="N46" s="12">
        <f>J46+K46</f>
        <v>13</v>
      </c>
      <c r="O46" s="15">
        <f>K46*9950+21900*J46</f>
        <v>260800</v>
      </c>
      <c r="P46" s="16">
        <v>401</v>
      </c>
      <c r="Q46" s="15">
        <f>900*P46</f>
        <v>360900</v>
      </c>
      <c r="R46" s="46">
        <f>L46+O46+Q46</f>
        <v>751700</v>
      </c>
      <c r="S46" s="12">
        <v>2025</v>
      </c>
    </row>
    <row r="47" spans="1:19" s="17" customFormat="1" x14ac:dyDescent="0.2">
      <c r="A47" s="12" t="s">
        <v>58</v>
      </c>
      <c r="B47" s="12">
        <v>8</v>
      </c>
      <c r="C47" s="12">
        <v>8</v>
      </c>
      <c r="D47" s="12">
        <v>8</v>
      </c>
      <c r="E47" s="12">
        <v>60</v>
      </c>
      <c r="F47" s="13">
        <f>E47/C47</f>
        <v>7.5</v>
      </c>
      <c r="G47" s="14">
        <v>6</v>
      </c>
      <c r="H47" s="14" t="s">
        <v>233</v>
      </c>
      <c r="I47" s="14">
        <v>664</v>
      </c>
      <c r="J47" s="12">
        <v>8</v>
      </c>
      <c r="K47" s="12">
        <v>0</v>
      </c>
      <c r="L47" s="15">
        <f>J47*7000</f>
        <v>56000</v>
      </c>
      <c r="M47" s="30">
        <f>(J47+K47)*15</f>
        <v>120</v>
      </c>
      <c r="N47" s="12">
        <f>J47+K47</f>
        <v>8</v>
      </c>
      <c r="O47" s="15">
        <f>9950*N47</f>
        <v>79600</v>
      </c>
      <c r="P47" s="16">
        <v>279</v>
      </c>
      <c r="Q47" s="15">
        <f>900*P47</f>
        <v>251100</v>
      </c>
      <c r="R47" s="46">
        <f>L47+O47+Q47</f>
        <v>386700</v>
      </c>
      <c r="S47" s="12">
        <v>2025</v>
      </c>
    </row>
    <row r="48" spans="1:19" s="17" customFormat="1" x14ac:dyDescent="0.2">
      <c r="A48" s="12" t="s">
        <v>65</v>
      </c>
      <c r="B48" s="12">
        <v>8</v>
      </c>
      <c r="C48" s="12">
        <v>4</v>
      </c>
      <c r="D48" s="12">
        <v>4</v>
      </c>
      <c r="E48" s="12">
        <v>52</v>
      </c>
      <c r="F48" s="13">
        <f>E48/C48</f>
        <v>13</v>
      </c>
      <c r="G48" s="14">
        <v>8</v>
      </c>
      <c r="H48" s="14" t="s">
        <v>230</v>
      </c>
      <c r="I48" s="14">
        <v>332</v>
      </c>
      <c r="J48" s="12">
        <v>3</v>
      </c>
      <c r="K48" s="12">
        <v>0</v>
      </c>
      <c r="L48" s="15">
        <f>K48*10000+J48*10000</f>
        <v>30000</v>
      </c>
      <c r="M48" s="30">
        <f>(J48+K48)*30</f>
        <v>90</v>
      </c>
      <c r="N48" s="12">
        <f>J48+K48</f>
        <v>3</v>
      </c>
      <c r="O48" s="15">
        <f>K48*9950+21900*J48</f>
        <v>65700</v>
      </c>
      <c r="P48" s="16">
        <v>115</v>
      </c>
      <c r="Q48" s="15">
        <f>900*P48</f>
        <v>103500</v>
      </c>
      <c r="R48" s="46">
        <f>L48+O48+Q48</f>
        <v>199200</v>
      </c>
      <c r="S48" s="12">
        <v>2025</v>
      </c>
    </row>
    <row r="49" spans="1:19" s="17" customFormat="1" x14ac:dyDescent="0.2">
      <c r="A49" s="12" t="s">
        <v>69</v>
      </c>
      <c r="B49" s="12">
        <v>2</v>
      </c>
      <c r="C49" s="12">
        <v>6</v>
      </c>
      <c r="D49" s="12">
        <v>6</v>
      </c>
      <c r="E49" s="12">
        <v>48</v>
      </c>
      <c r="F49" s="13">
        <f>E49/C49</f>
        <v>8</v>
      </c>
      <c r="G49" s="14">
        <v>8</v>
      </c>
      <c r="H49" s="14" t="s">
        <v>231</v>
      </c>
      <c r="I49" s="14">
        <v>498</v>
      </c>
      <c r="J49" s="12">
        <v>7</v>
      </c>
      <c r="K49" s="12">
        <v>0</v>
      </c>
      <c r="L49" s="15">
        <f>K49*10000+J49*10000</f>
        <v>70000</v>
      </c>
      <c r="M49" s="30">
        <f>(J49+K49)*20</f>
        <v>140</v>
      </c>
      <c r="N49" s="12">
        <f>J49+K49</f>
        <v>7</v>
      </c>
      <c r="O49" s="15">
        <f>K49*9950+21900*J49</f>
        <v>153300</v>
      </c>
      <c r="P49" s="16">
        <v>222</v>
      </c>
      <c r="Q49" s="15">
        <f>900*P49</f>
        <v>199800</v>
      </c>
      <c r="R49" s="46">
        <f>L49+O49+Q49</f>
        <v>423100</v>
      </c>
      <c r="S49" s="12">
        <v>2025</v>
      </c>
    </row>
    <row r="50" spans="1:19" s="17" customFormat="1" x14ac:dyDescent="0.2">
      <c r="A50" s="12" t="s">
        <v>71</v>
      </c>
      <c r="B50" s="12">
        <v>2</v>
      </c>
      <c r="C50" s="12">
        <v>7</v>
      </c>
      <c r="D50" s="12">
        <v>7</v>
      </c>
      <c r="E50" s="12">
        <v>48</v>
      </c>
      <c r="F50" s="13">
        <f>E50/C50</f>
        <v>6.8571428571428568</v>
      </c>
      <c r="G50" s="14">
        <v>8</v>
      </c>
      <c r="H50" s="14" t="s">
        <v>231</v>
      </c>
      <c r="I50" s="14">
        <v>581</v>
      </c>
      <c r="J50" s="12">
        <v>8</v>
      </c>
      <c r="K50" s="12">
        <v>0</v>
      </c>
      <c r="L50" s="15">
        <f>K50*10000+J50*10000</f>
        <v>80000</v>
      </c>
      <c r="M50" s="30">
        <f>(J50+K50)*15</f>
        <v>120</v>
      </c>
      <c r="N50" s="12">
        <f>J50+K50</f>
        <v>8</v>
      </c>
      <c r="O50" s="15">
        <f>K50*9950+21900*J50</f>
        <v>175200</v>
      </c>
      <c r="P50" s="16">
        <v>256</v>
      </c>
      <c r="Q50" s="15">
        <f>900*P50</f>
        <v>230400</v>
      </c>
      <c r="R50" s="46">
        <f>L50+O50+Q50</f>
        <v>485600</v>
      </c>
      <c r="S50" s="12">
        <v>2025</v>
      </c>
    </row>
    <row r="51" spans="1:19" s="17" customFormat="1" x14ac:dyDescent="0.2">
      <c r="A51" s="34" t="s">
        <v>137</v>
      </c>
      <c r="B51" s="12">
        <v>2</v>
      </c>
      <c r="C51" s="12">
        <v>4</v>
      </c>
      <c r="D51" s="12">
        <v>4</v>
      </c>
      <c r="E51" s="12">
        <v>32</v>
      </c>
      <c r="F51" s="13">
        <f>E51/C51</f>
        <v>8</v>
      </c>
      <c r="G51" s="14">
        <v>8</v>
      </c>
      <c r="H51" s="14" t="s">
        <v>231</v>
      </c>
      <c r="I51" s="14">
        <v>332</v>
      </c>
      <c r="J51" s="12">
        <v>4</v>
      </c>
      <c r="K51" s="12">
        <v>0</v>
      </c>
      <c r="L51" s="15">
        <f>K51*10000+J51*10000</f>
        <v>40000</v>
      </c>
      <c r="M51" s="30">
        <f>(J51+K51)*30</f>
        <v>120</v>
      </c>
      <c r="N51" s="12">
        <f>J51+K51</f>
        <v>4</v>
      </c>
      <c r="O51" s="15">
        <f>K51*9950+21900*J51</f>
        <v>87600</v>
      </c>
      <c r="P51" s="16">
        <v>120</v>
      </c>
      <c r="Q51" s="15">
        <f>900*P51</f>
        <v>108000</v>
      </c>
      <c r="R51" s="46">
        <f>L51+O51+Q51</f>
        <v>235600</v>
      </c>
      <c r="S51" s="12">
        <v>2025</v>
      </c>
    </row>
    <row r="52" spans="1:19" s="17" customFormat="1" x14ac:dyDescent="0.2">
      <c r="A52" s="12" t="s">
        <v>72</v>
      </c>
      <c r="B52" s="12">
        <v>2.14</v>
      </c>
      <c r="C52" s="12">
        <v>17</v>
      </c>
      <c r="D52" s="12">
        <v>17</v>
      </c>
      <c r="E52" s="12">
        <v>34</v>
      </c>
      <c r="F52" s="13">
        <f>E52/C52</f>
        <v>2</v>
      </c>
      <c r="G52" s="14">
        <v>8</v>
      </c>
      <c r="H52" s="14" t="s">
        <v>231</v>
      </c>
      <c r="I52" s="14">
        <v>1411</v>
      </c>
      <c r="J52" s="12">
        <v>20</v>
      </c>
      <c r="K52" s="12">
        <v>0</v>
      </c>
      <c r="L52" s="15">
        <f>K52*10000+J52*10000</f>
        <v>200000</v>
      </c>
      <c r="M52" s="30">
        <f>9*25+11*40</f>
        <v>665</v>
      </c>
      <c r="N52" s="12">
        <f>J52+K52</f>
        <v>20</v>
      </c>
      <c r="O52" s="15">
        <f>K52*9950+21900*J52</f>
        <v>438000</v>
      </c>
      <c r="P52" s="16">
        <v>560</v>
      </c>
      <c r="Q52" s="15">
        <f>900*P52</f>
        <v>504000</v>
      </c>
      <c r="R52" s="46">
        <f>L52+O52+Q52</f>
        <v>1142000</v>
      </c>
      <c r="S52" s="12">
        <v>2025</v>
      </c>
    </row>
    <row r="53" spans="1:19" s="17" customFormat="1" x14ac:dyDescent="0.2">
      <c r="A53" s="34" t="s">
        <v>61</v>
      </c>
      <c r="B53" s="12" t="s">
        <v>187</v>
      </c>
      <c r="C53" s="12">
        <v>20</v>
      </c>
      <c r="D53" s="12">
        <v>16</v>
      </c>
      <c r="E53" s="12">
        <v>132</v>
      </c>
      <c r="F53" s="13">
        <f>E53/C53</f>
        <v>6.6</v>
      </c>
      <c r="G53" s="14">
        <v>10</v>
      </c>
      <c r="H53" s="14" t="s">
        <v>230</v>
      </c>
      <c r="I53" s="14">
        <v>2812</v>
      </c>
      <c r="J53" s="12">
        <v>7</v>
      </c>
      <c r="K53" s="12">
        <v>6</v>
      </c>
      <c r="L53" s="15">
        <f>K53*10000+J53*10000</f>
        <v>130000</v>
      </c>
      <c r="M53" s="30">
        <f>(J53+K53)*40</f>
        <v>520</v>
      </c>
      <c r="N53" s="12">
        <f>J53+K53</f>
        <v>13</v>
      </c>
      <c r="O53" s="15">
        <f>K53*9950+21900*J53</f>
        <v>213000</v>
      </c>
      <c r="P53" s="16">
        <v>230</v>
      </c>
      <c r="Q53" s="15">
        <f>900*P53</f>
        <v>207000</v>
      </c>
      <c r="R53" s="48">
        <f>L53+O53+Q53</f>
        <v>550000</v>
      </c>
      <c r="S53" s="12">
        <v>2026</v>
      </c>
    </row>
    <row r="54" spans="1:19" s="17" customFormat="1" x14ac:dyDescent="0.2">
      <c r="A54" s="12" t="s">
        <v>3</v>
      </c>
      <c r="B54" s="12">
        <v>34</v>
      </c>
      <c r="C54" s="12">
        <v>3</v>
      </c>
      <c r="D54" s="12">
        <v>3</v>
      </c>
      <c r="E54" s="12">
        <v>20</v>
      </c>
      <c r="F54" s="13">
        <f>E54/C54</f>
        <v>6.666666666666667</v>
      </c>
      <c r="G54" s="14">
        <v>8</v>
      </c>
      <c r="H54" s="14" t="s">
        <v>231</v>
      </c>
      <c r="I54" s="14">
        <v>336</v>
      </c>
      <c r="J54" s="12">
        <v>7</v>
      </c>
      <c r="K54" s="12">
        <v>0</v>
      </c>
      <c r="L54" s="15">
        <f>K54*10000+J54*10000</f>
        <v>70000</v>
      </c>
      <c r="M54" s="30">
        <f>(J54+K54)*25</f>
        <v>175</v>
      </c>
      <c r="N54" s="12">
        <f>J54+K54</f>
        <v>7</v>
      </c>
      <c r="O54" s="15">
        <f>K54*9950+21900*J54</f>
        <v>153300</v>
      </c>
      <c r="P54" s="16">
        <v>164</v>
      </c>
      <c r="Q54" s="15">
        <f>900*P54</f>
        <v>147600</v>
      </c>
      <c r="R54" s="48">
        <f>L54+O54+Q54</f>
        <v>370900</v>
      </c>
      <c r="S54" s="12">
        <v>2026</v>
      </c>
    </row>
    <row r="55" spans="1:19" s="17" customFormat="1" x14ac:dyDescent="0.2">
      <c r="A55" s="12" t="s">
        <v>44</v>
      </c>
      <c r="B55" s="12">
        <v>9</v>
      </c>
      <c r="C55" s="12">
        <v>2</v>
      </c>
      <c r="D55" s="12">
        <v>2</v>
      </c>
      <c r="E55" s="12">
        <v>14</v>
      </c>
      <c r="F55" s="13">
        <f>E55/C55</f>
        <v>7</v>
      </c>
      <c r="G55" s="14">
        <v>8</v>
      </c>
      <c r="H55" s="14" t="s">
        <v>231</v>
      </c>
      <c r="I55" s="14">
        <v>166</v>
      </c>
      <c r="J55" s="12">
        <v>4</v>
      </c>
      <c r="K55" s="12">
        <v>0</v>
      </c>
      <c r="L55" s="15">
        <f>K55*10000+J55*10000</f>
        <v>40000</v>
      </c>
      <c r="M55" s="30">
        <f>(J55+K55)*30</f>
        <v>120</v>
      </c>
      <c r="N55" s="12">
        <f>J55+K55</f>
        <v>4</v>
      </c>
      <c r="O55" s="15">
        <f>K55*9950+21900*J55</f>
        <v>87600</v>
      </c>
      <c r="P55" s="16">
        <v>98</v>
      </c>
      <c r="Q55" s="15">
        <f>900*P55</f>
        <v>88200</v>
      </c>
      <c r="R55" s="48">
        <f>L55+O55+Q55</f>
        <v>215800</v>
      </c>
      <c r="S55" s="12">
        <v>2026</v>
      </c>
    </row>
    <row r="56" spans="1:19" s="17" customFormat="1" x14ac:dyDescent="0.2">
      <c r="A56" s="12" t="s">
        <v>45</v>
      </c>
      <c r="B56" s="12">
        <v>9</v>
      </c>
      <c r="C56" s="12">
        <v>2</v>
      </c>
      <c r="D56" s="12">
        <v>2</v>
      </c>
      <c r="E56" s="12">
        <v>14</v>
      </c>
      <c r="F56" s="13">
        <f>E56/C56</f>
        <v>7</v>
      </c>
      <c r="G56" s="14">
        <v>8</v>
      </c>
      <c r="H56" s="14" t="s">
        <v>231</v>
      </c>
      <c r="I56" s="14">
        <v>166</v>
      </c>
      <c r="J56" s="12">
        <v>3</v>
      </c>
      <c r="K56" s="12">
        <v>0</v>
      </c>
      <c r="L56" s="15">
        <f>K56*10000+J56*10000</f>
        <v>30000</v>
      </c>
      <c r="M56" s="30">
        <f>(J56+K56)*30</f>
        <v>90</v>
      </c>
      <c r="N56" s="12">
        <f>J56+K56</f>
        <v>3</v>
      </c>
      <c r="O56" s="15">
        <f>K56*9950+21900*J56</f>
        <v>65700</v>
      </c>
      <c r="P56" s="16">
        <v>94</v>
      </c>
      <c r="Q56" s="15">
        <f>900*P56</f>
        <v>84600</v>
      </c>
      <c r="R56" s="48">
        <f>L56+O56+Q56</f>
        <v>180300</v>
      </c>
      <c r="S56" s="12">
        <v>2026</v>
      </c>
    </row>
    <row r="57" spans="1:19" s="17" customFormat="1" x14ac:dyDescent="0.2">
      <c r="A57" s="12" t="s">
        <v>43</v>
      </c>
      <c r="B57" s="12">
        <v>9</v>
      </c>
      <c r="C57" s="12">
        <v>20</v>
      </c>
      <c r="D57" s="12">
        <v>20</v>
      </c>
      <c r="E57" s="12">
        <v>140</v>
      </c>
      <c r="F57" s="13">
        <f>E57/C57</f>
        <v>7</v>
      </c>
      <c r="G57" s="14">
        <v>8</v>
      </c>
      <c r="H57" s="14" t="s">
        <v>231</v>
      </c>
      <c r="I57" s="14">
        <v>1660</v>
      </c>
      <c r="J57" s="12">
        <v>21</v>
      </c>
      <c r="K57" s="12">
        <v>0</v>
      </c>
      <c r="L57" s="15">
        <f>K57*10000+J57*10000</f>
        <v>210000</v>
      </c>
      <c r="M57" s="30">
        <f>(J57+K57)*30</f>
        <v>630</v>
      </c>
      <c r="N57" s="12">
        <f>J57+K57</f>
        <v>21</v>
      </c>
      <c r="O57" s="15">
        <f>K57*9950+21900*J57</f>
        <v>459900</v>
      </c>
      <c r="P57" s="16">
        <v>736</v>
      </c>
      <c r="Q57" s="15">
        <f>900*P57</f>
        <v>662400</v>
      </c>
      <c r="R57" s="48">
        <f>L57+O57+Q57</f>
        <v>1332300</v>
      </c>
      <c r="S57" s="12">
        <v>2026</v>
      </c>
    </row>
    <row r="58" spans="1:19" s="17" customFormat="1" x14ac:dyDescent="0.2">
      <c r="A58" s="12" t="s">
        <v>47</v>
      </c>
      <c r="B58" s="12">
        <v>9</v>
      </c>
      <c r="C58" s="12">
        <v>3</v>
      </c>
      <c r="D58" s="12">
        <v>3</v>
      </c>
      <c r="E58" s="12">
        <v>21</v>
      </c>
      <c r="F58" s="13">
        <f>E58/C58</f>
        <v>7</v>
      </c>
      <c r="G58" s="14">
        <v>8</v>
      </c>
      <c r="H58" s="14" t="s">
        <v>231</v>
      </c>
      <c r="I58" s="14">
        <v>249</v>
      </c>
      <c r="J58" s="12">
        <v>5</v>
      </c>
      <c r="K58" s="12">
        <v>0</v>
      </c>
      <c r="L58" s="15">
        <f>K58*10000+J58*10000</f>
        <v>50000</v>
      </c>
      <c r="M58" s="30">
        <f>(J58+K58)*30</f>
        <v>150</v>
      </c>
      <c r="N58" s="12">
        <f>J58+K58</f>
        <v>5</v>
      </c>
      <c r="O58" s="15">
        <f>K58*9950+21900*J58</f>
        <v>109500</v>
      </c>
      <c r="P58" s="16">
        <v>144</v>
      </c>
      <c r="Q58" s="15">
        <f>900*P58</f>
        <v>129600</v>
      </c>
      <c r="R58" s="48">
        <f>L58+O58+Q58</f>
        <v>289100</v>
      </c>
      <c r="S58" s="12">
        <v>2026</v>
      </c>
    </row>
    <row r="59" spans="1:19" s="17" customFormat="1" x14ac:dyDescent="0.2">
      <c r="A59" s="12" t="s">
        <v>104</v>
      </c>
      <c r="B59" s="12">
        <v>12.13</v>
      </c>
      <c r="C59" s="12">
        <v>14</v>
      </c>
      <c r="D59" s="12">
        <v>13</v>
      </c>
      <c r="E59" s="12">
        <v>89</v>
      </c>
      <c r="F59" s="13">
        <f>E59/C59</f>
        <v>6.3571428571428568</v>
      </c>
      <c r="G59" s="14" t="s">
        <v>221</v>
      </c>
      <c r="H59" s="14" t="s">
        <v>238</v>
      </c>
      <c r="I59" s="14">
        <v>1760</v>
      </c>
      <c r="J59" s="12">
        <v>12</v>
      </c>
      <c r="K59" s="12">
        <v>0</v>
      </c>
      <c r="L59" s="15">
        <f>9*10000+3*7000</f>
        <v>111000</v>
      </c>
      <c r="M59" s="30">
        <f>9*50+3*15</f>
        <v>495</v>
      </c>
      <c r="N59" s="12">
        <f>J59+K59</f>
        <v>12</v>
      </c>
      <c r="O59" s="15">
        <f>9*21900+3*9950</f>
        <v>226950</v>
      </c>
      <c r="P59" s="16">
        <v>395</v>
      </c>
      <c r="Q59" s="15">
        <f>900*P59</f>
        <v>355500</v>
      </c>
      <c r="R59" s="48">
        <f>L59+O59+Q59</f>
        <v>693450</v>
      </c>
      <c r="S59" s="12">
        <v>2026</v>
      </c>
    </row>
    <row r="60" spans="1:19" s="17" customFormat="1" x14ac:dyDescent="0.2">
      <c r="A60" s="12" t="s">
        <v>1</v>
      </c>
      <c r="B60" s="12">
        <v>30.31</v>
      </c>
      <c r="C60" s="12">
        <v>32</v>
      </c>
      <c r="D60" s="12">
        <v>30</v>
      </c>
      <c r="E60" s="12">
        <v>193</v>
      </c>
      <c r="F60" s="13">
        <f>E60/C60</f>
        <v>6.03125</v>
      </c>
      <c r="G60" s="14" t="s">
        <v>222</v>
      </c>
      <c r="H60" s="14" t="s">
        <v>234</v>
      </c>
      <c r="I60" s="14">
        <v>2656</v>
      </c>
      <c r="J60" s="12">
        <v>63</v>
      </c>
      <c r="K60" s="12">
        <v>0</v>
      </c>
      <c r="L60" s="15">
        <f>K60*10000+J60*10000</f>
        <v>630000</v>
      </c>
      <c r="M60" s="30">
        <f>26*50+15*25+22*20</f>
        <v>2115</v>
      </c>
      <c r="N60" s="12">
        <f>J60+K60</f>
        <v>63</v>
      </c>
      <c r="O60" s="15">
        <f>K60*9950+21900*J60</f>
        <v>1379700</v>
      </c>
      <c r="P60" s="16">
        <v>2089</v>
      </c>
      <c r="Q60" s="15">
        <f>900*P60</f>
        <v>1880100</v>
      </c>
      <c r="R60" s="48">
        <f>L60+O60+Q60</f>
        <v>3889800</v>
      </c>
      <c r="S60" s="12">
        <v>2026</v>
      </c>
    </row>
    <row r="61" spans="1:19" s="17" customFormat="1" x14ac:dyDescent="0.2">
      <c r="A61" s="12" t="s">
        <v>46</v>
      </c>
      <c r="B61" s="12">
        <v>9</v>
      </c>
      <c r="C61" s="12">
        <v>7</v>
      </c>
      <c r="D61" s="12">
        <v>7</v>
      </c>
      <c r="E61" s="12">
        <v>49</v>
      </c>
      <c r="F61" s="13">
        <f>E61/C61</f>
        <v>7</v>
      </c>
      <c r="G61" s="14">
        <v>8</v>
      </c>
      <c r="H61" s="14" t="s">
        <v>231</v>
      </c>
      <c r="I61" s="14">
        <v>581</v>
      </c>
      <c r="J61" s="12">
        <v>9</v>
      </c>
      <c r="K61" s="12">
        <v>0</v>
      </c>
      <c r="L61" s="15">
        <f>K61*10000+J61*10000</f>
        <v>90000</v>
      </c>
      <c r="M61" s="30">
        <f>(J61+K61)*30</f>
        <v>270</v>
      </c>
      <c r="N61" s="12">
        <f>J61+K61</f>
        <v>9</v>
      </c>
      <c r="O61" s="15">
        <f>K61*9950+21900*J61</f>
        <v>197100</v>
      </c>
      <c r="P61" s="16">
        <v>252</v>
      </c>
      <c r="Q61" s="15">
        <f>900*P61</f>
        <v>226800</v>
      </c>
      <c r="R61" s="48">
        <f>L61+O61+Q61</f>
        <v>513900</v>
      </c>
      <c r="S61" s="12">
        <v>2026</v>
      </c>
    </row>
    <row r="62" spans="1:19" s="17" customFormat="1" x14ac:dyDescent="0.2">
      <c r="A62" s="12" t="s">
        <v>16</v>
      </c>
      <c r="B62" s="12">
        <v>7</v>
      </c>
      <c r="C62" s="12">
        <v>6</v>
      </c>
      <c r="D62" s="12">
        <v>6</v>
      </c>
      <c r="E62" s="12">
        <v>43</v>
      </c>
      <c r="F62" s="13">
        <f>E62/C62</f>
        <v>7.166666666666667</v>
      </c>
      <c r="G62" s="14">
        <v>8</v>
      </c>
      <c r="H62" s="14" t="s">
        <v>231</v>
      </c>
      <c r="I62" s="14">
        <v>704</v>
      </c>
      <c r="J62" s="12">
        <v>10</v>
      </c>
      <c r="K62" s="12">
        <v>0</v>
      </c>
      <c r="L62" s="15">
        <f>K62*10000+J62*10000</f>
        <v>100000</v>
      </c>
      <c r="M62" s="32">
        <f>(J62+K62)*30</f>
        <v>300</v>
      </c>
      <c r="N62" s="12">
        <f>J62+K62</f>
        <v>10</v>
      </c>
      <c r="O62" s="15">
        <f>K62*9950+21900*J62</f>
        <v>219000</v>
      </c>
      <c r="P62" s="16">
        <v>356</v>
      </c>
      <c r="Q62" s="15">
        <f>900*P62</f>
        <v>320400</v>
      </c>
      <c r="R62" s="44">
        <f>L62+O62+Q62</f>
        <v>639400</v>
      </c>
      <c r="S62" s="12">
        <v>2027</v>
      </c>
    </row>
    <row r="63" spans="1:19" s="17" customFormat="1" x14ac:dyDescent="0.2">
      <c r="A63" s="12" t="s">
        <v>60</v>
      </c>
      <c r="B63" s="12">
        <v>8</v>
      </c>
      <c r="C63" s="12">
        <v>11</v>
      </c>
      <c r="D63" s="12">
        <v>11</v>
      </c>
      <c r="E63" s="12">
        <v>66</v>
      </c>
      <c r="F63" s="13">
        <f>E63/C63</f>
        <v>6</v>
      </c>
      <c r="G63" s="14">
        <v>6</v>
      </c>
      <c r="H63" s="14" t="s">
        <v>235</v>
      </c>
      <c r="I63" s="14">
        <v>913</v>
      </c>
      <c r="J63" s="12">
        <v>10</v>
      </c>
      <c r="K63" s="12">
        <v>0</v>
      </c>
      <c r="L63" s="15">
        <f>J63*14000</f>
        <v>140000</v>
      </c>
      <c r="M63" s="30">
        <f>(J63+K63)*25</f>
        <v>250</v>
      </c>
      <c r="N63" s="12">
        <f>J63+K63</f>
        <v>10</v>
      </c>
      <c r="O63" s="15">
        <f>30000*N63</f>
        <v>300000</v>
      </c>
      <c r="P63" s="16">
        <v>347</v>
      </c>
      <c r="Q63" s="15">
        <f>900*P63</f>
        <v>312300</v>
      </c>
      <c r="R63" s="44">
        <f>L63+O63+Q63</f>
        <v>752300</v>
      </c>
      <c r="S63" s="12">
        <v>2027</v>
      </c>
    </row>
    <row r="64" spans="1:19" s="17" customFormat="1" x14ac:dyDescent="0.2">
      <c r="A64" s="12" t="s">
        <v>128</v>
      </c>
      <c r="B64" s="12">
        <v>25</v>
      </c>
      <c r="C64" s="12">
        <v>32</v>
      </c>
      <c r="D64" s="12">
        <v>32</v>
      </c>
      <c r="E64" s="12">
        <v>209</v>
      </c>
      <c r="F64" s="13">
        <f>E64/C64</f>
        <v>6.53125</v>
      </c>
      <c r="G64" s="18" t="s">
        <v>214</v>
      </c>
      <c r="H64" s="18" t="s">
        <v>234</v>
      </c>
      <c r="I64" s="14">
        <v>2917</v>
      </c>
      <c r="J64" s="12">
        <v>50</v>
      </c>
      <c r="K64" s="12">
        <v>0</v>
      </c>
      <c r="L64" s="15">
        <f>K64*10000+J64*10000</f>
        <v>500000</v>
      </c>
      <c r="M64" s="30">
        <f>16*40+10*25+24*15</f>
        <v>1250</v>
      </c>
      <c r="N64" s="12">
        <f>J64+K64</f>
        <v>50</v>
      </c>
      <c r="O64" s="15">
        <f>K64*9950+21900*J64</f>
        <v>1095000</v>
      </c>
      <c r="P64" s="16">
        <v>1606</v>
      </c>
      <c r="Q64" s="15">
        <f>900*P64</f>
        <v>1445400</v>
      </c>
      <c r="R64" s="44">
        <f>L64+O64+Q64</f>
        <v>3040400</v>
      </c>
      <c r="S64" s="12">
        <v>2027</v>
      </c>
    </row>
    <row r="65" spans="1:19" s="17" customFormat="1" x14ac:dyDescent="0.2">
      <c r="A65" s="12" t="s">
        <v>83</v>
      </c>
      <c r="B65" s="12">
        <v>6.7</v>
      </c>
      <c r="C65" s="12">
        <v>22</v>
      </c>
      <c r="D65" s="12">
        <v>20</v>
      </c>
      <c r="E65" s="12">
        <v>125</v>
      </c>
      <c r="F65" s="13">
        <f>E65/C65</f>
        <v>5.6818181818181817</v>
      </c>
      <c r="G65" s="14">
        <v>8</v>
      </c>
      <c r="H65" s="14" t="s">
        <v>231</v>
      </c>
      <c r="I65" s="14">
        <v>2219</v>
      </c>
      <c r="J65" s="12">
        <v>16</v>
      </c>
      <c r="K65" s="12">
        <v>2</v>
      </c>
      <c r="L65" s="15">
        <f>K65*10000+J65*10000</f>
        <v>180000</v>
      </c>
      <c r="M65" s="30">
        <f>2*25+14*20</f>
        <v>330</v>
      </c>
      <c r="N65" s="12">
        <f>J65+K65</f>
        <v>18</v>
      </c>
      <c r="O65" s="15">
        <f>K65*9950+21900*J65</f>
        <v>370300</v>
      </c>
      <c r="P65" s="16">
        <v>505</v>
      </c>
      <c r="Q65" s="15">
        <f>900*P65</f>
        <v>454500</v>
      </c>
      <c r="R65" s="44">
        <f>L65+O65+Q65</f>
        <v>1004800</v>
      </c>
      <c r="S65" s="12">
        <v>2027</v>
      </c>
    </row>
    <row r="66" spans="1:19" s="17" customFormat="1" x14ac:dyDescent="0.2">
      <c r="A66" s="12" t="s">
        <v>67</v>
      </c>
      <c r="B66" s="12">
        <v>2</v>
      </c>
      <c r="C66" s="12">
        <v>10</v>
      </c>
      <c r="D66" s="12">
        <v>10</v>
      </c>
      <c r="E66" s="12">
        <v>76</v>
      </c>
      <c r="F66" s="13">
        <f>E66/C66</f>
        <v>7.6</v>
      </c>
      <c r="G66" s="14">
        <v>8</v>
      </c>
      <c r="H66" s="14" t="s">
        <v>231</v>
      </c>
      <c r="I66" s="14">
        <v>830</v>
      </c>
      <c r="J66" s="12">
        <v>15</v>
      </c>
      <c r="K66" s="12">
        <v>0</v>
      </c>
      <c r="L66" s="15">
        <f>K66*10000+J66*10000</f>
        <v>150000</v>
      </c>
      <c r="M66" s="30">
        <f>3*25+12*20</f>
        <v>315</v>
      </c>
      <c r="N66" s="12">
        <f>J66+K66</f>
        <v>15</v>
      </c>
      <c r="O66" s="15">
        <f>K66*9950+21900*J66</f>
        <v>328500</v>
      </c>
      <c r="P66" s="16">
        <v>449</v>
      </c>
      <c r="Q66" s="15">
        <f>900*P66</f>
        <v>404100</v>
      </c>
      <c r="R66" s="44">
        <f>L66+O66+Q66</f>
        <v>882600</v>
      </c>
      <c r="S66" s="12">
        <v>2027</v>
      </c>
    </row>
    <row r="67" spans="1:19" s="17" customFormat="1" x14ac:dyDescent="0.2">
      <c r="A67" s="12" t="s">
        <v>114</v>
      </c>
      <c r="B67" s="12">
        <v>8.14</v>
      </c>
      <c r="C67" s="12">
        <v>10</v>
      </c>
      <c r="D67" s="12">
        <v>5</v>
      </c>
      <c r="E67" s="12">
        <v>60</v>
      </c>
      <c r="F67" s="13">
        <f>E67/C67</f>
        <v>6</v>
      </c>
      <c r="G67" s="14">
        <v>10</v>
      </c>
      <c r="H67" s="14" t="s">
        <v>230</v>
      </c>
      <c r="I67" s="14">
        <v>830</v>
      </c>
      <c r="J67" s="12">
        <v>4</v>
      </c>
      <c r="K67" s="12">
        <v>0</v>
      </c>
      <c r="L67" s="15">
        <f>K67*10000+J67*10000</f>
        <v>40000</v>
      </c>
      <c r="M67" s="30">
        <f>(J67+K67)*50</f>
        <v>200</v>
      </c>
      <c r="N67" s="12">
        <f>J67+K67</f>
        <v>4</v>
      </c>
      <c r="O67" s="15">
        <f>K67*9950+21900*J67</f>
        <v>87600</v>
      </c>
      <c r="P67" s="16">
        <v>126</v>
      </c>
      <c r="Q67" s="15">
        <f>900*P67</f>
        <v>113400</v>
      </c>
      <c r="R67" s="44">
        <f>L67+O67+Q67</f>
        <v>241000</v>
      </c>
      <c r="S67" s="12">
        <v>2027</v>
      </c>
    </row>
    <row r="68" spans="1:19" s="17" customFormat="1" x14ac:dyDescent="0.2">
      <c r="A68" s="12" t="s">
        <v>142</v>
      </c>
      <c r="B68" s="12">
        <v>2</v>
      </c>
      <c r="C68" s="12">
        <v>16</v>
      </c>
      <c r="D68" s="12">
        <v>16</v>
      </c>
      <c r="E68" s="12">
        <v>149</v>
      </c>
      <c r="F68" s="13">
        <f>E68/C68</f>
        <v>9.3125</v>
      </c>
      <c r="G68" s="14">
        <v>8</v>
      </c>
      <c r="H68" s="14" t="s">
        <v>231</v>
      </c>
      <c r="I68" s="14">
        <v>1479</v>
      </c>
      <c r="J68" s="12">
        <v>16</v>
      </c>
      <c r="K68" s="12">
        <v>0</v>
      </c>
      <c r="L68" s="15">
        <f>K68*10000+J68*10000</f>
        <v>160000</v>
      </c>
      <c r="M68" s="30">
        <f>4*15+7*20+5*30</f>
        <v>350</v>
      </c>
      <c r="N68" s="12">
        <f>J68+K68</f>
        <v>16</v>
      </c>
      <c r="O68" s="15">
        <f>K68*9950+21900*J68</f>
        <v>350400</v>
      </c>
      <c r="P68" s="16">
        <v>449</v>
      </c>
      <c r="Q68" s="15">
        <f>900*P68</f>
        <v>404100</v>
      </c>
      <c r="R68" s="44">
        <f>L68+O68+Q68</f>
        <v>914500</v>
      </c>
      <c r="S68" s="12">
        <v>2027</v>
      </c>
    </row>
    <row r="69" spans="1:19" s="17" customFormat="1" x14ac:dyDescent="0.2">
      <c r="A69" s="12" t="s">
        <v>68</v>
      </c>
      <c r="B69" s="12">
        <v>2</v>
      </c>
      <c r="C69" s="12">
        <v>3</v>
      </c>
      <c r="D69" s="12">
        <v>3</v>
      </c>
      <c r="E69" s="12">
        <v>18</v>
      </c>
      <c r="F69" s="13">
        <f>E69/C69</f>
        <v>6</v>
      </c>
      <c r="G69" s="14">
        <v>8</v>
      </c>
      <c r="H69" s="14" t="s">
        <v>231</v>
      </c>
      <c r="I69" s="14">
        <v>249</v>
      </c>
      <c r="J69" s="12">
        <v>5</v>
      </c>
      <c r="K69" s="12">
        <v>0</v>
      </c>
      <c r="L69" s="15">
        <f>K69*10000+J69*10000</f>
        <v>50000</v>
      </c>
      <c r="M69" s="30">
        <f>(J69+K69)*20</f>
        <v>100</v>
      </c>
      <c r="N69" s="12">
        <f>J69+K69</f>
        <v>5</v>
      </c>
      <c r="O69" s="15">
        <f>K69*9950+21900*J69</f>
        <v>109500</v>
      </c>
      <c r="P69" s="16">
        <v>155</v>
      </c>
      <c r="Q69" s="15">
        <f>900*P69</f>
        <v>139500</v>
      </c>
      <c r="R69" s="44">
        <f>L69+O69+Q69</f>
        <v>299000</v>
      </c>
      <c r="S69" s="12">
        <v>2027</v>
      </c>
    </row>
    <row r="70" spans="1:19" s="17" customFormat="1" x14ac:dyDescent="0.2">
      <c r="A70" s="12" t="s">
        <v>89</v>
      </c>
      <c r="B70" s="12">
        <v>2</v>
      </c>
      <c r="C70" s="12">
        <v>5</v>
      </c>
      <c r="D70" s="12">
        <v>5</v>
      </c>
      <c r="E70" s="12">
        <v>34</v>
      </c>
      <c r="F70" s="13">
        <f>E70/C70</f>
        <v>6.8</v>
      </c>
      <c r="G70" s="14">
        <v>10</v>
      </c>
      <c r="H70" s="14" t="s">
        <v>230</v>
      </c>
      <c r="I70" s="14">
        <v>850</v>
      </c>
      <c r="J70" s="12">
        <v>6</v>
      </c>
      <c r="K70" s="12">
        <v>0</v>
      </c>
      <c r="L70" s="15">
        <f>K70*10000+J70*10000</f>
        <v>60000</v>
      </c>
      <c r="M70" s="30">
        <f>(J70+K70)*50</f>
        <v>300</v>
      </c>
      <c r="N70" s="12">
        <f>J70+K70</f>
        <v>6</v>
      </c>
      <c r="O70" s="15">
        <f>K70*9950+21900*J70</f>
        <v>131400</v>
      </c>
      <c r="P70" s="16">
        <v>187</v>
      </c>
      <c r="Q70" s="15">
        <f>900*P70</f>
        <v>168300</v>
      </c>
      <c r="R70" s="44">
        <f>L70+O70+Q70</f>
        <v>359700</v>
      </c>
      <c r="S70" s="12">
        <v>2027</v>
      </c>
    </row>
    <row r="71" spans="1:19" s="17" customFormat="1" x14ac:dyDescent="0.2">
      <c r="A71" s="12" t="s">
        <v>98</v>
      </c>
      <c r="B71" s="12">
        <v>7</v>
      </c>
      <c r="C71" s="12">
        <v>10</v>
      </c>
      <c r="D71" s="12">
        <v>7</v>
      </c>
      <c r="E71" s="12">
        <v>44</v>
      </c>
      <c r="F71" s="13">
        <f>E71/C71</f>
        <v>4.4000000000000004</v>
      </c>
      <c r="G71" s="14" t="s">
        <v>225</v>
      </c>
      <c r="H71" s="14" t="s">
        <v>230</v>
      </c>
      <c r="I71" s="14">
        <v>1510</v>
      </c>
      <c r="J71" s="12">
        <v>9</v>
      </c>
      <c r="K71" s="12">
        <v>0</v>
      </c>
      <c r="L71" s="15">
        <f>K71*10000+J71*10000</f>
        <v>90000</v>
      </c>
      <c r="M71" s="30">
        <f>6*35+3*20</f>
        <v>270</v>
      </c>
      <c r="N71" s="12">
        <f>J71+K71</f>
        <v>9</v>
      </c>
      <c r="O71" s="15">
        <f>K71*9950+21900*J71</f>
        <v>197100</v>
      </c>
      <c r="P71" s="16">
        <v>161</v>
      </c>
      <c r="Q71" s="15">
        <f>900*P71</f>
        <v>144900</v>
      </c>
      <c r="R71" s="44">
        <f>L71+O71+Q71</f>
        <v>432000</v>
      </c>
      <c r="S71" s="12">
        <v>2027</v>
      </c>
    </row>
    <row r="72" spans="1:19" s="17" customFormat="1" x14ac:dyDescent="0.2">
      <c r="A72" s="12" t="s">
        <v>66</v>
      </c>
      <c r="B72" s="12">
        <v>2</v>
      </c>
      <c r="C72" s="12">
        <v>12</v>
      </c>
      <c r="D72" s="12">
        <v>11</v>
      </c>
      <c r="E72" s="12">
        <v>70</v>
      </c>
      <c r="F72" s="13">
        <f>E72/C72</f>
        <v>5.833333333333333</v>
      </c>
      <c r="G72" s="14" t="s">
        <v>226</v>
      </c>
      <c r="H72" s="14" t="s">
        <v>237</v>
      </c>
      <c r="I72" s="14">
        <v>910</v>
      </c>
      <c r="J72" s="12">
        <v>13</v>
      </c>
      <c r="K72" s="12">
        <v>0</v>
      </c>
      <c r="L72" s="15">
        <f>11*10000+2*7000</f>
        <v>124000</v>
      </c>
      <c r="M72" s="30">
        <f>2*15+11*20</f>
        <v>250</v>
      </c>
      <c r="N72" s="12">
        <f>J72+K72</f>
        <v>13</v>
      </c>
      <c r="O72" s="15">
        <f>11*21900+2*9950</f>
        <v>260800</v>
      </c>
      <c r="P72" s="16">
        <v>385</v>
      </c>
      <c r="Q72" s="15">
        <f>900*P72</f>
        <v>346500</v>
      </c>
      <c r="R72" s="44">
        <f>L72+O72+Q72</f>
        <v>731300</v>
      </c>
      <c r="S72" s="12">
        <v>2027</v>
      </c>
    </row>
    <row r="73" spans="1:19" s="17" customFormat="1" x14ac:dyDescent="0.2">
      <c r="A73" s="12" t="s">
        <v>19</v>
      </c>
      <c r="B73" s="12">
        <v>8.1199999999999992</v>
      </c>
      <c r="C73" s="12">
        <v>13</v>
      </c>
      <c r="D73" s="12">
        <v>13</v>
      </c>
      <c r="E73" s="12">
        <v>78</v>
      </c>
      <c r="F73" s="13">
        <f>E73/C73</f>
        <v>6</v>
      </c>
      <c r="G73" s="14">
        <v>8</v>
      </c>
      <c r="H73" s="14" t="s">
        <v>231</v>
      </c>
      <c r="I73" s="14">
        <v>1079</v>
      </c>
      <c r="J73" s="12">
        <v>16</v>
      </c>
      <c r="K73" s="12">
        <v>0</v>
      </c>
      <c r="L73" s="15">
        <f>K73*10000+J73*10000</f>
        <v>160000</v>
      </c>
      <c r="M73" s="30">
        <f>4*25+12*20</f>
        <v>340</v>
      </c>
      <c r="N73" s="12">
        <f>J73+K73</f>
        <v>16</v>
      </c>
      <c r="O73" s="15">
        <f>K73*9950+21900*J73</f>
        <v>350400</v>
      </c>
      <c r="P73" s="16">
        <v>523</v>
      </c>
      <c r="Q73" s="15">
        <f>900*P73</f>
        <v>470700</v>
      </c>
      <c r="R73" s="47">
        <f>L73+O73+Q73</f>
        <v>981100</v>
      </c>
      <c r="S73" s="12">
        <v>2028</v>
      </c>
    </row>
    <row r="74" spans="1:19" s="17" customFormat="1" x14ac:dyDescent="0.2">
      <c r="A74" s="12" t="s">
        <v>21</v>
      </c>
      <c r="B74" s="12">
        <v>12</v>
      </c>
      <c r="C74" s="12">
        <v>5</v>
      </c>
      <c r="D74" s="12">
        <v>5</v>
      </c>
      <c r="E74" s="12">
        <v>20</v>
      </c>
      <c r="F74" s="13">
        <f>E74/C74</f>
        <v>4</v>
      </c>
      <c r="G74" s="14">
        <v>8</v>
      </c>
      <c r="H74" s="14" t="s">
        <v>231</v>
      </c>
      <c r="I74" s="14">
        <v>415</v>
      </c>
      <c r="J74" s="12">
        <v>5</v>
      </c>
      <c r="K74" s="12">
        <v>0</v>
      </c>
      <c r="L74" s="15">
        <f>K74*10000+J74*10000</f>
        <v>50000</v>
      </c>
      <c r="M74" s="30">
        <f>(J74+K74)*40</f>
        <v>200</v>
      </c>
      <c r="N74" s="12">
        <f>J74+K74</f>
        <v>5</v>
      </c>
      <c r="O74" s="15">
        <f>K74*9950+21900*J74</f>
        <v>109500</v>
      </c>
      <c r="P74" s="16">
        <v>157</v>
      </c>
      <c r="Q74" s="15">
        <f>900*P74</f>
        <v>141300</v>
      </c>
      <c r="R74" s="47">
        <f>L74+O74+Q74</f>
        <v>300800</v>
      </c>
      <c r="S74" s="12">
        <v>2028</v>
      </c>
    </row>
    <row r="75" spans="1:19" s="17" customFormat="1" x14ac:dyDescent="0.2">
      <c r="A75" s="12" t="s">
        <v>53</v>
      </c>
      <c r="B75" s="12">
        <v>8</v>
      </c>
      <c r="C75" s="12">
        <v>4</v>
      </c>
      <c r="D75" s="12">
        <v>4</v>
      </c>
      <c r="E75" s="12">
        <v>24</v>
      </c>
      <c r="F75" s="13">
        <f>E75/C75</f>
        <v>6</v>
      </c>
      <c r="G75" s="14">
        <v>8</v>
      </c>
      <c r="H75" s="14" t="s">
        <v>231</v>
      </c>
      <c r="I75" s="14">
        <v>332</v>
      </c>
      <c r="J75" s="12">
        <v>6</v>
      </c>
      <c r="K75" s="12">
        <v>0</v>
      </c>
      <c r="L75" s="15">
        <f>K75*10000+J75*10000</f>
        <v>60000</v>
      </c>
      <c r="M75" s="30">
        <f>(J75+K75)*25</f>
        <v>150</v>
      </c>
      <c r="N75" s="12">
        <f>J75+K75</f>
        <v>6</v>
      </c>
      <c r="O75" s="15">
        <f>K75*9950+21900*J75</f>
        <v>131400</v>
      </c>
      <c r="P75" s="16">
        <v>181</v>
      </c>
      <c r="Q75" s="15">
        <f>900*P75</f>
        <v>162900</v>
      </c>
      <c r="R75" s="47">
        <f>L75+O75+Q75</f>
        <v>354300</v>
      </c>
      <c r="S75" s="12">
        <v>2028</v>
      </c>
    </row>
    <row r="76" spans="1:19" s="17" customFormat="1" x14ac:dyDescent="0.2">
      <c r="A76" s="12" t="s">
        <v>22</v>
      </c>
      <c r="B76" s="12">
        <v>12</v>
      </c>
      <c r="C76" s="12">
        <v>10</v>
      </c>
      <c r="D76" s="12">
        <v>10</v>
      </c>
      <c r="E76" s="12">
        <v>60</v>
      </c>
      <c r="F76" s="13">
        <f>E76/C76</f>
        <v>6</v>
      </c>
      <c r="G76" s="14">
        <v>8</v>
      </c>
      <c r="H76" s="14" t="s">
        <v>231</v>
      </c>
      <c r="I76" s="14">
        <v>830</v>
      </c>
      <c r="J76" s="12">
        <v>11</v>
      </c>
      <c r="K76" s="12">
        <v>0</v>
      </c>
      <c r="L76" s="15">
        <f>K76*10000+J76*10000</f>
        <v>110000</v>
      </c>
      <c r="M76" s="30">
        <f>(J76+K76)*30</f>
        <v>330</v>
      </c>
      <c r="N76" s="12">
        <f>J76+K76</f>
        <v>11</v>
      </c>
      <c r="O76" s="15">
        <f>K76*9950+21900*J76</f>
        <v>240900</v>
      </c>
      <c r="P76" s="16">
        <v>381</v>
      </c>
      <c r="Q76" s="15">
        <f>900*P76</f>
        <v>342900</v>
      </c>
      <c r="R76" s="47">
        <f>L76+O76+Q76</f>
        <v>693800</v>
      </c>
      <c r="S76" s="12">
        <v>2028</v>
      </c>
    </row>
    <row r="77" spans="1:19" s="17" customFormat="1" x14ac:dyDescent="0.2">
      <c r="A77" s="12" t="s">
        <v>23</v>
      </c>
      <c r="B77" s="12">
        <v>12.13</v>
      </c>
      <c r="C77" s="12">
        <v>7</v>
      </c>
      <c r="D77" s="12">
        <v>7</v>
      </c>
      <c r="E77" s="12">
        <v>47</v>
      </c>
      <c r="F77" s="13">
        <f>E77/C77</f>
        <v>6.7142857142857144</v>
      </c>
      <c r="G77" s="14">
        <v>8</v>
      </c>
      <c r="H77" s="14" t="s">
        <v>231</v>
      </c>
      <c r="I77" s="14">
        <v>528</v>
      </c>
      <c r="J77" s="12">
        <v>7</v>
      </c>
      <c r="K77" s="12">
        <v>0</v>
      </c>
      <c r="L77" s="15">
        <f>K77*10000+J77*10000</f>
        <v>70000</v>
      </c>
      <c r="M77" s="30">
        <f>(J77+K77)*30</f>
        <v>210</v>
      </c>
      <c r="N77" s="12">
        <f>J77+K77</f>
        <v>7</v>
      </c>
      <c r="O77" s="15">
        <f>K77*9950+21900*J77</f>
        <v>153300</v>
      </c>
      <c r="P77" s="16">
        <v>248</v>
      </c>
      <c r="Q77" s="15">
        <f>900*P77</f>
        <v>223200</v>
      </c>
      <c r="R77" s="47">
        <f>L77+O77+Q77</f>
        <v>446500</v>
      </c>
      <c r="S77" s="12">
        <v>2028</v>
      </c>
    </row>
    <row r="78" spans="1:19" s="17" customFormat="1" x14ac:dyDescent="0.2">
      <c r="A78" s="12" t="s">
        <v>27</v>
      </c>
      <c r="B78" s="12">
        <v>12</v>
      </c>
      <c r="C78" s="12">
        <v>2</v>
      </c>
      <c r="D78" s="12">
        <v>2</v>
      </c>
      <c r="E78" s="12">
        <v>12</v>
      </c>
      <c r="F78" s="13">
        <f>E78/C78</f>
        <v>6</v>
      </c>
      <c r="G78" s="14">
        <v>8</v>
      </c>
      <c r="H78" s="14" t="s">
        <v>231</v>
      </c>
      <c r="I78" s="14">
        <v>166</v>
      </c>
      <c r="J78" s="12">
        <v>4</v>
      </c>
      <c r="K78" s="12">
        <v>0</v>
      </c>
      <c r="L78" s="15">
        <f>K78*10000+J78*10000</f>
        <v>40000</v>
      </c>
      <c r="M78" s="30">
        <f>(J78+K78)*30</f>
        <v>120</v>
      </c>
      <c r="N78" s="12">
        <f>J78+K78</f>
        <v>4</v>
      </c>
      <c r="O78" s="15">
        <f>K78*9950+21900*J78</f>
        <v>87600</v>
      </c>
      <c r="P78" s="16">
        <v>107</v>
      </c>
      <c r="Q78" s="15">
        <f>900*P78</f>
        <v>96300</v>
      </c>
      <c r="R78" s="47">
        <f>L78+O78+Q78</f>
        <v>223900</v>
      </c>
      <c r="S78" s="12">
        <v>2028</v>
      </c>
    </row>
    <row r="79" spans="1:19" s="17" customFormat="1" x14ac:dyDescent="0.2">
      <c r="A79" s="12" t="s">
        <v>24</v>
      </c>
      <c r="B79" s="12">
        <v>12</v>
      </c>
      <c r="C79" s="12">
        <v>4</v>
      </c>
      <c r="D79" s="12">
        <v>4</v>
      </c>
      <c r="E79" s="12">
        <v>24</v>
      </c>
      <c r="F79" s="13">
        <f>E79/C79</f>
        <v>6</v>
      </c>
      <c r="G79" s="14">
        <v>8</v>
      </c>
      <c r="H79" s="14" t="s">
        <v>231</v>
      </c>
      <c r="I79" s="14">
        <v>332</v>
      </c>
      <c r="J79" s="12">
        <v>7</v>
      </c>
      <c r="K79" s="12">
        <v>0</v>
      </c>
      <c r="L79" s="15">
        <f>K79*10000+J79*10000</f>
        <v>70000</v>
      </c>
      <c r="M79" s="30">
        <f>(J79+K79)*20</f>
        <v>140</v>
      </c>
      <c r="N79" s="12">
        <f>J79+K79</f>
        <v>7</v>
      </c>
      <c r="O79" s="15">
        <f>K79*9950+21900*J79</f>
        <v>153300</v>
      </c>
      <c r="P79" s="16">
        <v>215</v>
      </c>
      <c r="Q79" s="15">
        <f>900*P79</f>
        <v>193500</v>
      </c>
      <c r="R79" s="47">
        <f>L79+O79+Q79</f>
        <v>416800</v>
      </c>
      <c r="S79" s="12">
        <v>2028</v>
      </c>
    </row>
    <row r="80" spans="1:19" s="17" customFormat="1" x14ac:dyDescent="0.2">
      <c r="A80" s="12" t="s">
        <v>54</v>
      </c>
      <c r="B80" s="12">
        <v>8</v>
      </c>
      <c r="C80" s="12">
        <v>2</v>
      </c>
      <c r="D80" s="12">
        <v>2</v>
      </c>
      <c r="E80" s="12">
        <v>12</v>
      </c>
      <c r="F80" s="13">
        <f>E80/C80</f>
        <v>6</v>
      </c>
      <c r="G80" s="14">
        <v>8</v>
      </c>
      <c r="H80" s="14" t="s">
        <v>231</v>
      </c>
      <c r="I80" s="14">
        <v>166</v>
      </c>
      <c r="J80" s="12">
        <v>7</v>
      </c>
      <c r="K80" s="12">
        <v>0</v>
      </c>
      <c r="L80" s="15">
        <f>K80*10000+J80*10000</f>
        <v>70000</v>
      </c>
      <c r="M80" s="30">
        <f>(J80+K80)*25</f>
        <v>175</v>
      </c>
      <c r="N80" s="12">
        <f>J80+K80</f>
        <v>7</v>
      </c>
      <c r="O80" s="15">
        <f>K80*9950+21900*J80</f>
        <v>153300</v>
      </c>
      <c r="P80" s="16">
        <v>172</v>
      </c>
      <c r="Q80" s="15">
        <f>900*P80</f>
        <v>154800</v>
      </c>
      <c r="R80" s="47">
        <f>L80+O80+Q80</f>
        <v>378100</v>
      </c>
      <c r="S80" s="12">
        <v>2028</v>
      </c>
    </row>
    <row r="81" spans="1:19" s="17" customFormat="1" x14ac:dyDescent="0.2">
      <c r="A81" s="12" t="s">
        <v>56</v>
      </c>
      <c r="B81" s="12">
        <v>8</v>
      </c>
      <c r="C81" s="12">
        <v>10</v>
      </c>
      <c r="D81" s="12">
        <v>8</v>
      </c>
      <c r="E81" s="12">
        <v>60</v>
      </c>
      <c r="F81" s="13">
        <f>E81/C81</f>
        <v>6</v>
      </c>
      <c r="G81" s="14">
        <v>8</v>
      </c>
      <c r="H81" s="14" t="s">
        <v>231</v>
      </c>
      <c r="I81" s="14">
        <v>830</v>
      </c>
      <c r="J81" s="12">
        <v>8</v>
      </c>
      <c r="K81" s="12">
        <v>0</v>
      </c>
      <c r="L81" s="15">
        <f>K81*10000+J81*10000</f>
        <v>80000</v>
      </c>
      <c r="M81" s="30">
        <f>(J81+K81)*40</f>
        <v>320</v>
      </c>
      <c r="N81" s="12">
        <f>J81+K81</f>
        <v>8</v>
      </c>
      <c r="O81" s="15">
        <f>K81*9950+21900*J81</f>
        <v>175200</v>
      </c>
      <c r="P81" s="16">
        <v>262</v>
      </c>
      <c r="Q81" s="15">
        <f>900*P81</f>
        <v>235800</v>
      </c>
      <c r="R81" s="47">
        <f>L81+O81+Q81</f>
        <v>491000</v>
      </c>
      <c r="S81" s="12">
        <v>2028</v>
      </c>
    </row>
    <row r="82" spans="1:19" s="17" customFormat="1" x14ac:dyDescent="0.2">
      <c r="A82" s="12" t="s">
        <v>57</v>
      </c>
      <c r="B82" s="12">
        <v>8.11</v>
      </c>
      <c r="C82" s="12">
        <v>12</v>
      </c>
      <c r="D82" s="12">
        <v>12</v>
      </c>
      <c r="E82" s="12">
        <v>72</v>
      </c>
      <c r="F82" s="13">
        <f>E82/C82</f>
        <v>6</v>
      </c>
      <c r="G82" s="14">
        <v>8</v>
      </c>
      <c r="H82" s="14" t="s">
        <v>231</v>
      </c>
      <c r="I82" s="14">
        <v>996</v>
      </c>
      <c r="J82" s="12">
        <v>17</v>
      </c>
      <c r="K82" s="12">
        <v>0</v>
      </c>
      <c r="L82" s="15">
        <f>K82*10000+J82*10000</f>
        <v>170000</v>
      </c>
      <c r="M82" s="30">
        <f>(J82+K82)*30</f>
        <v>510</v>
      </c>
      <c r="N82" s="12">
        <f>J82+K82</f>
        <v>17</v>
      </c>
      <c r="O82" s="15">
        <f>K82*9950+21900*J82</f>
        <v>372300</v>
      </c>
      <c r="P82" s="16">
        <v>606</v>
      </c>
      <c r="Q82" s="15">
        <f>900*P82</f>
        <v>545400</v>
      </c>
      <c r="R82" s="47">
        <f>L82+O82+Q82</f>
        <v>1087700</v>
      </c>
      <c r="S82" s="12">
        <v>2028</v>
      </c>
    </row>
    <row r="83" spans="1:19" s="17" customFormat="1" x14ac:dyDescent="0.2">
      <c r="A83" s="12" t="s">
        <v>52</v>
      </c>
      <c r="B83" s="12">
        <v>8</v>
      </c>
      <c r="C83" s="12">
        <v>2</v>
      </c>
      <c r="D83" s="12">
        <v>2</v>
      </c>
      <c r="E83" s="12">
        <v>12</v>
      </c>
      <c r="F83" s="13">
        <f>E83/C83</f>
        <v>6</v>
      </c>
      <c r="G83" s="14">
        <v>8</v>
      </c>
      <c r="H83" s="14" t="s">
        <v>231</v>
      </c>
      <c r="I83" s="14">
        <v>166</v>
      </c>
      <c r="J83" s="12">
        <v>6</v>
      </c>
      <c r="K83" s="12">
        <v>0</v>
      </c>
      <c r="L83" s="15">
        <f>K83*10000+J83*10000</f>
        <v>60000</v>
      </c>
      <c r="M83" s="30">
        <f>(J83+K83)*25</f>
        <v>150</v>
      </c>
      <c r="N83" s="12">
        <f>J83+K83</f>
        <v>6</v>
      </c>
      <c r="O83" s="15">
        <f>K83*9950+21900*J83</f>
        <v>131400</v>
      </c>
      <c r="P83" s="16">
        <v>159</v>
      </c>
      <c r="Q83" s="15">
        <f>900*P83</f>
        <v>143100</v>
      </c>
      <c r="R83" s="47">
        <f>L83+O83+Q83</f>
        <v>334500</v>
      </c>
      <c r="S83" s="12">
        <v>2028</v>
      </c>
    </row>
    <row r="84" spans="1:19" s="17" customFormat="1" x14ac:dyDescent="0.2">
      <c r="A84" s="12" t="s">
        <v>0</v>
      </c>
      <c r="B84" s="12">
        <v>28.29</v>
      </c>
      <c r="C84" s="12">
        <v>27</v>
      </c>
      <c r="D84" s="12">
        <v>27</v>
      </c>
      <c r="E84" s="12">
        <v>157</v>
      </c>
      <c r="F84" s="13">
        <f>E84/C84</f>
        <v>5.8148148148148149</v>
      </c>
      <c r="G84" s="14" t="s">
        <v>219</v>
      </c>
      <c r="H84" s="14" t="s">
        <v>234</v>
      </c>
      <c r="I84" s="14">
        <v>2186</v>
      </c>
      <c r="J84" s="12">
        <v>39</v>
      </c>
      <c r="K84" s="12">
        <v>0</v>
      </c>
      <c r="L84" s="15">
        <f>K84*10000+J84*10000</f>
        <v>390000</v>
      </c>
      <c r="M84" s="30">
        <f>17*40+22*25</f>
        <v>1230</v>
      </c>
      <c r="N84" s="12">
        <f>J84+K84</f>
        <v>39</v>
      </c>
      <c r="O84" s="15">
        <f>K84*9950+21900*J84</f>
        <v>854100</v>
      </c>
      <c r="P84" s="16">
        <v>1232</v>
      </c>
      <c r="Q84" s="15">
        <f>900*P84</f>
        <v>1108800</v>
      </c>
      <c r="R84" s="47">
        <f>L84+O84+Q84</f>
        <v>2352900</v>
      </c>
      <c r="S84" s="12">
        <v>2028</v>
      </c>
    </row>
    <row r="85" spans="1:19" s="17" customFormat="1" x14ac:dyDescent="0.2">
      <c r="A85" s="12" t="s">
        <v>25</v>
      </c>
      <c r="B85" s="12">
        <v>8.1199999999999992</v>
      </c>
      <c r="C85" s="12">
        <v>4</v>
      </c>
      <c r="D85" s="12">
        <v>4</v>
      </c>
      <c r="E85" s="12">
        <v>19</v>
      </c>
      <c r="F85" s="13">
        <f>E85/C85</f>
        <v>4.75</v>
      </c>
      <c r="G85" s="14" t="s">
        <v>220</v>
      </c>
      <c r="H85" s="14" t="s">
        <v>237</v>
      </c>
      <c r="I85" s="14">
        <v>279</v>
      </c>
      <c r="J85" s="12">
        <v>7</v>
      </c>
      <c r="K85" s="12">
        <v>0</v>
      </c>
      <c r="L85" s="15">
        <f>5*10000+2*7000</f>
        <v>64000</v>
      </c>
      <c r="M85" s="30">
        <f>2*15+5*25</f>
        <v>155</v>
      </c>
      <c r="N85" s="12">
        <f>J85+K85</f>
        <v>7</v>
      </c>
      <c r="O85" s="15">
        <f>5*21900+2*9950</f>
        <v>129400</v>
      </c>
      <c r="P85" s="16">
        <v>180</v>
      </c>
      <c r="Q85" s="15">
        <f>900*P85</f>
        <v>162000</v>
      </c>
      <c r="R85" s="47">
        <f>L85+O85+Q85</f>
        <v>355400</v>
      </c>
      <c r="S85" s="12">
        <v>2028</v>
      </c>
    </row>
    <row r="86" spans="1:19" s="17" customFormat="1" x14ac:dyDescent="0.2">
      <c r="A86" s="12" t="s">
        <v>20</v>
      </c>
      <c r="B86" s="12">
        <v>8.1199999999999992</v>
      </c>
      <c r="C86" s="12">
        <v>12</v>
      </c>
      <c r="D86" s="12">
        <v>12</v>
      </c>
      <c r="E86" s="12">
        <v>78</v>
      </c>
      <c r="F86" s="13">
        <f>E86/C86</f>
        <v>6.5</v>
      </c>
      <c r="G86" s="14">
        <v>8</v>
      </c>
      <c r="H86" s="14" t="s">
        <v>231</v>
      </c>
      <c r="I86" s="14">
        <v>996</v>
      </c>
      <c r="J86" s="12">
        <v>12</v>
      </c>
      <c r="K86" s="12">
        <v>0</v>
      </c>
      <c r="L86" s="15">
        <f>K86*10000+J86*10000</f>
        <v>120000</v>
      </c>
      <c r="M86" s="30">
        <f>4*15+8*30</f>
        <v>300</v>
      </c>
      <c r="N86" s="12">
        <f>J86+K86</f>
        <v>12</v>
      </c>
      <c r="O86" s="15">
        <f>K86*9950+21900*J86</f>
        <v>262800</v>
      </c>
      <c r="P86" s="16">
        <v>422</v>
      </c>
      <c r="Q86" s="15">
        <f>900*P86</f>
        <v>379800</v>
      </c>
      <c r="R86" s="47">
        <f>L86+O86+Q86</f>
        <v>762600</v>
      </c>
      <c r="S86" s="12">
        <v>2028</v>
      </c>
    </row>
    <row r="87" spans="1:19" s="17" customFormat="1" x14ac:dyDescent="0.2">
      <c r="A87" s="12" t="s">
        <v>55</v>
      </c>
      <c r="B87" s="12">
        <v>8</v>
      </c>
      <c r="C87" s="12">
        <v>1</v>
      </c>
      <c r="D87" s="12">
        <v>1</v>
      </c>
      <c r="E87" s="12">
        <v>6</v>
      </c>
      <c r="F87" s="13">
        <f>E87/C87</f>
        <v>6</v>
      </c>
      <c r="G87" s="14">
        <v>8</v>
      </c>
      <c r="H87" s="14" t="s">
        <v>231</v>
      </c>
      <c r="I87" s="14">
        <v>83</v>
      </c>
      <c r="J87" s="12">
        <v>3</v>
      </c>
      <c r="K87" s="12">
        <v>0</v>
      </c>
      <c r="L87" s="15">
        <f>K87*10000+J87*10000</f>
        <v>30000</v>
      </c>
      <c r="M87" s="30">
        <f>(J87+K87)*30</f>
        <v>90</v>
      </c>
      <c r="N87" s="12">
        <f>J87+K87</f>
        <v>3</v>
      </c>
      <c r="O87" s="15">
        <f>K87*9950+21900*J87</f>
        <v>65700</v>
      </c>
      <c r="P87" s="16">
        <v>60</v>
      </c>
      <c r="Q87" s="15">
        <f>900*P87</f>
        <v>54000</v>
      </c>
      <c r="R87" s="47">
        <f>L87+O87+Q87</f>
        <v>149700</v>
      </c>
      <c r="S87" s="12">
        <v>2028</v>
      </c>
    </row>
    <row r="88" spans="1:19" s="17" customFormat="1" x14ac:dyDescent="0.2">
      <c r="A88" s="12" t="s">
        <v>117</v>
      </c>
      <c r="B88" s="12">
        <v>8</v>
      </c>
      <c r="C88" s="12">
        <v>5</v>
      </c>
      <c r="D88" s="12">
        <v>5</v>
      </c>
      <c r="E88" s="12">
        <v>30</v>
      </c>
      <c r="F88" s="13">
        <f>E88/C88</f>
        <v>6</v>
      </c>
      <c r="G88" s="14">
        <v>6</v>
      </c>
      <c r="H88" s="14" t="s">
        <v>233</v>
      </c>
      <c r="I88" s="14">
        <v>415</v>
      </c>
      <c r="J88" s="12">
        <v>14</v>
      </c>
      <c r="K88" s="12">
        <v>0</v>
      </c>
      <c r="L88" s="15">
        <f>J88*7000</f>
        <v>98000</v>
      </c>
      <c r="M88" s="30">
        <f>(J88+K88)*15</f>
        <v>210</v>
      </c>
      <c r="N88" s="12">
        <f>J88+K88</f>
        <v>14</v>
      </c>
      <c r="O88" s="15">
        <f>9950*N88</f>
        <v>139300</v>
      </c>
      <c r="P88" s="16">
        <v>513</v>
      </c>
      <c r="Q88" s="15">
        <f>900*P88</f>
        <v>461700</v>
      </c>
      <c r="R88" s="47">
        <f>L88+O88+Q88</f>
        <v>699000</v>
      </c>
      <c r="S88" s="12">
        <v>2028</v>
      </c>
    </row>
    <row r="89" spans="1:19" s="17" customFormat="1" x14ac:dyDescent="0.2">
      <c r="A89" s="12" t="s">
        <v>10</v>
      </c>
      <c r="B89" s="12">
        <v>8</v>
      </c>
      <c r="C89" s="12">
        <v>14</v>
      </c>
      <c r="D89" s="12">
        <v>11</v>
      </c>
      <c r="E89" s="12">
        <v>88</v>
      </c>
      <c r="F89" s="13">
        <f>E89/C89</f>
        <v>6.2857142857142856</v>
      </c>
      <c r="G89" s="14" t="s">
        <v>228</v>
      </c>
      <c r="H89" s="14" t="s">
        <v>238</v>
      </c>
      <c r="I89" s="14">
        <v>1546</v>
      </c>
      <c r="J89" s="12">
        <v>10</v>
      </c>
      <c r="K89" s="12">
        <v>2</v>
      </c>
      <c r="L89" s="15">
        <f>10*10000+2*7000</f>
        <v>114000</v>
      </c>
      <c r="M89" s="30">
        <f>2*15+8*40</f>
        <v>350</v>
      </c>
      <c r="N89" s="12">
        <f>J89+K89</f>
        <v>12</v>
      </c>
      <c r="O89" s="15">
        <f>8*21900+4*9950</f>
        <v>215000</v>
      </c>
      <c r="P89" s="16">
        <v>302</v>
      </c>
      <c r="Q89" s="15">
        <f>900*P89</f>
        <v>271800</v>
      </c>
      <c r="R89" s="47">
        <f>L89+O89+Q89</f>
        <v>600800</v>
      </c>
      <c r="S89" s="12">
        <v>2028</v>
      </c>
    </row>
    <row r="90" spans="1:19" s="17" customFormat="1" x14ac:dyDescent="0.2">
      <c r="A90" s="12" t="s">
        <v>99</v>
      </c>
      <c r="B90" s="12">
        <v>14.18</v>
      </c>
      <c r="C90" s="12">
        <v>4</v>
      </c>
      <c r="D90" s="12">
        <v>4</v>
      </c>
      <c r="E90" s="12">
        <v>24</v>
      </c>
      <c r="F90" s="13">
        <f>E90/C90</f>
        <v>6</v>
      </c>
      <c r="G90" s="14">
        <v>8</v>
      </c>
      <c r="H90" s="14" t="s">
        <v>231</v>
      </c>
      <c r="I90" s="14">
        <v>332</v>
      </c>
      <c r="J90" s="12">
        <v>6</v>
      </c>
      <c r="K90" s="12">
        <v>0</v>
      </c>
      <c r="L90" s="15">
        <f>K90*10000+J90*10000</f>
        <v>60000</v>
      </c>
      <c r="M90" s="30">
        <f>(J90+K90)*30</f>
        <v>180</v>
      </c>
      <c r="N90" s="12">
        <f>J90+K90</f>
        <v>6</v>
      </c>
      <c r="O90" s="15">
        <f>K90*9950+21900*J90</f>
        <v>131400</v>
      </c>
      <c r="P90" s="16">
        <v>193</v>
      </c>
      <c r="Q90" s="15">
        <f>900*P90</f>
        <v>173700</v>
      </c>
      <c r="R90" s="49">
        <f>L90+O90+Q90</f>
        <v>365100</v>
      </c>
      <c r="S90" s="12">
        <v>2029</v>
      </c>
    </row>
    <row r="91" spans="1:19" s="17" customFormat="1" x14ac:dyDescent="0.2">
      <c r="A91" s="12" t="s">
        <v>100</v>
      </c>
      <c r="B91" s="12">
        <v>14</v>
      </c>
      <c r="C91" s="12">
        <v>7</v>
      </c>
      <c r="D91" s="12">
        <v>7</v>
      </c>
      <c r="E91" s="12">
        <v>42</v>
      </c>
      <c r="F91" s="13">
        <f>E91/C91</f>
        <v>6</v>
      </c>
      <c r="G91" s="14">
        <v>8</v>
      </c>
      <c r="H91" s="14" t="s">
        <v>231</v>
      </c>
      <c r="I91" s="14">
        <v>581</v>
      </c>
      <c r="J91" s="12">
        <v>7</v>
      </c>
      <c r="K91" s="12">
        <v>0</v>
      </c>
      <c r="L91" s="15">
        <f>K91*10000+J91*10000</f>
        <v>70000</v>
      </c>
      <c r="M91" s="32">
        <f>(J91+K91)*25</f>
        <v>175</v>
      </c>
      <c r="N91" s="12">
        <f>J91+K91</f>
        <v>7</v>
      </c>
      <c r="O91" s="15">
        <f>K91*9950+21900*J91</f>
        <v>153300</v>
      </c>
      <c r="P91" s="16">
        <v>140</v>
      </c>
      <c r="Q91" s="15">
        <f>900*P91</f>
        <v>126000</v>
      </c>
      <c r="R91" s="49">
        <f>L91+O91+Q91</f>
        <v>349300</v>
      </c>
      <c r="S91" s="12">
        <v>2029</v>
      </c>
    </row>
    <row r="92" spans="1:19" s="17" customFormat="1" x14ac:dyDescent="0.2">
      <c r="A92" s="12" t="s">
        <v>94</v>
      </c>
      <c r="B92" s="12">
        <v>17</v>
      </c>
      <c r="C92" s="12">
        <v>2</v>
      </c>
      <c r="D92" s="12">
        <v>2</v>
      </c>
      <c r="E92" s="12">
        <v>28</v>
      </c>
      <c r="F92" s="13">
        <f>E92/C92</f>
        <v>14</v>
      </c>
      <c r="G92" s="14">
        <v>8</v>
      </c>
      <c r="H92" s="14" t="s">
        <v>231</v>
      </c>
      <c r="I92" s="14">
        <v>166</v>
      </c>
      <c r="J92" s="12">
        <v>5</v>
      </c>
      <c r="K92" s="12">
        <v>0</v>
      </c>
      <c r="L92" s="15">
        <f>K92*10000+J92*10000</f>
        <v>50000</v>
      </c>
      <c r="M92" s="30">
        <f>(J92+K92)*30</f>
        <v>150</v>
      </c>
      <c r="N92" s="12">
        <f>J92+K92</f>
        <v>5</v>
      </c>
      <c r="O92" s="15">
        <f>K92*9950+21900*J92</f>
        <v>109500</v>
      </c>
      <c r="P92" s="16">
        <v>178</v>
      </c>
      <c r="Q92" s="15">
        <f>900*P92</f>
        <v>160200</v>
      </c>
      <c r="R92" s="50">
        <f>L92+O92+Q92</f>
        <v>319700</v>
      </c>
      <c r="S92" s="12">
        <v>2029</v>
      </c>
    </row>
    <row r="93" spans="1:19" s="17" customFormat="1" x14ac:dyDescent="0.2">
      <c r="A93" s="12" t="s">
        <v>103</v>
      </c>
      <c r="B93" s="12">
        <v>15</v>
      </c>
      <c r="C93" s="12">
        <v>9</v>
      </c>
      <c r="D93" s="12">
        <v>9</v>
      </c>
      <c r="E93" s="12">
        <v>55</v>
      </c>
      <c r="F93" s="13">
        <f>E93/C93</f>
        <v>6.1111111111111107</v>
      </c>
      <c r="G93" s="14">
        <v>8</v>
      </c>
      <c r="H93" s="14" t="s">
        <v>231</v>
      </c>
      <c r="I93" s="14">
        <v>779</v>
      </c>
      <c r="J93" s="12">
        <v>12</v>
      </c>
      <c r="K93" s="12">
        <v>0</v>
      </c>
      <c r="L93" s="15">
        <f>K93*10000+J93*10000</f>
        <v>120000</v>
      </c>
      <c r="M93" s="30">
        <f>6*25+4*15+2*30</f>
        <v>270</v>
      </c>
      <c r="N93" s="12">
        <f>J93+K93</f>
        <v>12</v>
      </c>
      <c r="O93" s="15">
        <f>K93*9950+21900*J93</f>
        <v>262800</v>
      </c>
      <c r="P93" s="16">
        <v>294</v>
      </c>
      <c r="Q93" s="15">
        <f>900*P93</f>
        <v>264600</v>
      </c>
      <c r="R93" s="49">
        <f>L93+O93+Q93</f>
        <v>647400</v>
      </c>
      <c r="S93" s="12">
        <v>2029</v>
      </c>
    </row>
    <row r="94" spans="1:19" s="17" customFormat="1" x14ac:dyDescent="0.2">
      <c r="A94" s="12" t="s">
        <v>92</v>
      </c>
      <c r="B94" s="12">
        <v>17</v>
      </c>
      <c r="C94" s="12">
        <v>2</v>
      </c>
      <c r="D94" s="12">
        <v>2</v>
      </c>
      <c r="E94" s="12">
        <v>16</v>
      </c>
      <c r="F94" s="13">
        <f>E94/C94</f>
        <v>8</v>
      </c>
      <c r="G94" s="14">
        <v>8</v>
      </c>
      <c r="H94" s="14" t="s">
        <v>231</v>
      </c>
      <c r="I94" s="14">
        <v>166</v>
      </c>
      <c r="J94" s="12">
        <v>6</v>
      </c>
      <c r="K94" s="12">
        <v>0</v>
      </c>
      <c r="L94" s="15">
        <f>K94*10000+J94*10000</f>
        <v>60000</v>
      </c>
      <c r="M94" s="30">
        <f>(J94+K94)*30</f>
        <v>180</v>
      </c>
      <c r="N94" s="12">
        <f>J94+K94</f>
        <v>6</v>
      </c>
      <c r="O94" s="15">
        <f>K94*9950+21900*J94</f>
        <v>131400</v>
      </c>
      <c r="P94" s="16">
        <v>188</v>
      </c>
      <c r="Q94" s="15">
        <f>900*P94</f>
        <v>169200</v>
      </c>
      <c r="R94" s="49">
        <f>L94+O94+Q94</f>
        <v>360600</v>
      </c>
      <c r="S94" s="12">
        <v>2029</v>
      </c>
    </row>
    <row r="95" spans="1:19" s="17" customFormat="1" x14ac:dyDescent="0.2">
      <c r="A95" s="12" t="s">
        <v>111</v>
      </c>
      <c r="B95" s="12">
        <v>16</v>
      </c>
      <c r="C95" s="12">
        <v>1</v>
      </c>
      <c r="D95" s="12">
        <v>1</v>
      </c>
      <c r="E95" s="12">
        <v>12</v>
      </c>
      <c r="F95" s="13">
        <f>E95/C95</f>
        <v>12</v>
      </c>
      <c r="G95" s="14">
        <v>8</v>
      </c>
      <c r="H95" s="14" t="s">
        <v>231</v>
      </c>
      <c r="I95" s="14">
        <v>83</v>
      </c>
      <c r="J95" s="12">
        <v>3</v>
      </c>
      <c r="K95" s="12">
        <v>0</v>
      </c>
      <c r="L95" s="15">
        <f>K95*10000+J95*10000</f>
        <v>30000</v>
      </c>
      <c r="M95" s="30">
        <f>(J95+K95)*30</f>
        <v>90</v>
      </c>
      <c r="N95" s="12">
        <f>J95+K95</f>
        <v>3</v>
      </c>
      <c r="O95" s="15">
        <f>K95*9950+21900*J95</f>
        <v>65700</v>
      </c>
      <c r="P95" s="16">
        <v>72</v>
      </c>
      <c r="Q95" s="15">
        <f>900*P95</f>
        <v>64800</v>
      </c>
      <c r="R95" s="50">
        <f>L95+O95+Q95</f>
        <v>160500</v>
      </c>
      <c r="S95" s="12">
        <v>2029</v>
      </c>
    </row>
    <row r="96" spans="1:19" s="17" customFormat="1" x14ac:dyDescent="0.2">
      <c r="A96" s="12" t="s">
        <v>7</v>
      </c>
      <c r="B96" s="12">
        <v>22</v>
      </c>
      <c r="C96" s="12">
        <v>26</v>
      </c>
      <c r="D96" s="12">
        <v>26</v>
      </c>
      <c r="E96" s="12">
        <v>125</v>
      </c>
      <c r="F96" s="13">
        <f>E96/C96</f>
        <v>4.8076923076923075</v>
      </c>
      <c r="G96" s="14" t="s">
        <v>216</v>
      </c>
      <c r="H96" s="14" t="s">
        <v>234</v>
      </c>
      <c r="I96" s="14">
        <v>1787</v>
      </c>
      <c r="J96" s="12">
        <v>52</v>
      </c>
      <c r="K96" s="12">
        <v>0</v>
      </c>
      <c r="L96" s="15">
        <f>K96*10000+J96*10000</f>
        <v>520000</v>
      </c>
      <c r="M96" s="30">
        <f>23*40+4*25+21*20+4*30</f>
        <v>1560</v>
      </c>
      <c r="N96" s="12">
        <f>J96+K96</f>
        <v>52</v>
      </c>
      <c r="O96" s="15">
        <f>K96*9950+21900*J96</f>
        <v>1138800</v>
      </c>
      <c r="P96" s="16">
        <v>1772</v>
      </c>
      <c r="Q96" s="15">
        <f>900*P96</f>
        <v>1594800</v>
      </c>
      <c r="R96" s="49">
        <f>L96+O96+Q96</f>
        <v>3253600</v>
      </c>
      <c r="S96" s="12">
        <v>2029</v>
      </c>
    </row>
    <row r="97" spans="1:19" s="17" customFormat="1" x14ac:dyDescent="0.2">
      <c r="A97" s="12" t="s">
        <v>106</v>
      </c>
      <c r="B97" s="12">
        <v>15</v>
      </c>
      <c r="C97" s="12">
        <v>16</v>
      </c>
      <c r="D97" s="12">
        <v>16</v>
      </c>
      <c r="E97" s="12">
        <v>158</v>
      </c>
      <c r="F97" s="13">
        <f>E97/C97</f>
        <v>9.875</v>
      </c>
      <c r="G97" s="14">
        <v>8</v>
      </c>
      <c r="H97" s="14" t="s">
        <v>231</v>
      </c>
      <c r="I97" s="14">
        <v>1328</v>
      </c>
      <c r="J97" s="12">
        <v>15</v>
      </c>
      <c r="K97" s="12">
        <v>0</v>
      </c>
      <c r="L97" s="15">
        <f>K97*10000+J97*10000</f>
        <v>150000</v>
      </c>
      <c r="M97" s="30">
        <f>3*25+12*20</f>
        <v>315</v>
      </c>
      <c r="N97" s="12">
        <f>J97+K97</f>
        <v>15</v>
      </c>
      <c r="O97" s="15">
        <f>K97*9950+21900*J97</f>
        <v>328500</v>
      </c>
      <c r="P97" s="16">
        <v>472</v>
      </c>
      <c r="Q97" s="15">
        <f>900*P97</f>
        <v>424800</v>
      </c>
      <c r="R97" s="50">
        <f>L97+O97+Q97</f>
        <v>903300</v>
      </c>
      <c r="S97" s="12">
        <v>2029</v>
      </c>
    </row>
    <row r="98" spans="1:19" s="17" customFormat="1" x14ac:dyDescent="0.2">
      <c r="A98" s="12" t="s">
        <v>102</v>
      </c>
      <c r="B98" s="12">
        <v>18</v>
      </c>
      <c r="C98" s="12">
        <v>4</v>
      </c>
      <c r="D98" s="12">
        <v>4</v>
      </c>
      <c r="E98" s="12">
        <v>24</v>
      </c>
      <c r="F98" s="13">
        <f>E98/C98</f>
        <v>6</v>
      </c>
      <c r="G98" s="14">
        <v>8</v>
      </c>
      <c r="H98" s="14" t="s">
        <v>231</v>
      </c>
      <c r="I98" s="14">
        <v>332</v>
      </c>
      <c r="J98" s="12">
        <v>7</v>
      </c>
      <c r="K98" s="12">
        <v>0</v>
      </c>
      <c r="L98" s="15">
        <f>K98*10000+J98*10000</f>
        <v>70000</v>
      </c>
      <c r="M98" s="30">
        <f>(J98+K98)*30</f>
        <v>210</v>
      </c>
      <c r="N98" s="12">
        <f>J98+K98</f>
        <v>7</v>
      </c>
      <c r="O98" s="15">
        <f>K98*9950+21900*J98</f>
        <v>153300</v>
      </c>
      <c r="P98" s="16">
        <v>213</v>
      </c>
      <c r="Q98" s="15">
        <f>900*P98</f>
        <v>191700</v>
      </c>
      <c r="R98" s="49">
        <f>L98+O98+Q98</f>
        <v>415000</v>
      </c>
      <c r="S98" s="12">
        <v>2029</v>
      </c>
    </row>
    <row r="99" spans="1:19" s="17" customFormat="1" x14ac:dyDescent="0.2">
      <c r="A99" s="12" t="s">
        <v>107</v>
      </c>
      <c r="B99" s="12">
        <v>15</v>
      </c>
      <c r="C99" s="12">
        <v>15</v>
      </c>
      <c r="D99" s="12">
        <v>15</v>
      </c>
      <c r="E99" s="12">
        <v>129</v>
      </c>
      <c r="F99" s="13">
        <f>E99/C99</f>
        <v>8.6</v>
      </c>
      <c r="G99" s="14">
        <v>8</v>
      </c>
      <c r="H99" s="14" t="s">
        <v>231</v>
      </c>
      <c r="I99" s="14">
        <v>1192</v>
      </c>
      <c r="J99" s="12">
        <v>13</v>
      </c>
      <c r="K99" s="12">
        <v>0</v>
      </c>
      <c r="L99" s="15">
        <f>K99*10000+J99*10000</f>
        <v>130000</v>
      </c>
      <c r="M99" s="30">
        <f>6*25+7*30</f>
        <v>360</v>
      </c>
      <c r="N99" s="12">
        <f>J99+K99</f>
        <v>13</v>
      </c>
      <c r="O99" s="15">
        <f>K99*9950+21900*J99</f>
        <v>284700</v>
      </c>
      <c r="P99" s="16">
        <v>265</v>
      </c>
      <c r="Q99" s="15">
        <f>900*P99</f>
        <v>238500</v>
      </c>
      <c r="R99" s="50">
        <f>L99+O99+Q99</f>
        <v>653200</v>
      </c>
      <c r="S99" s="12">
        <v>2029</v>
      </c>
    </row>
    <row r="100" spans="1:19" s="17" customFormat="1" x14ac:dyDescent="0.2">
      <c r="A100" s="12" t="s">
        <v>78</v>
      </c>
      <c r="B100" s="12">
        <v>1</v>
      </c>
      <c r="C100" s="12">
        <v>10</v>
      </c>
      <c r="D100" s="12">
        <v>10</v>
      </c>
      <c r="E100" s="12">
        <v>107</v>
      </c>
      <c r="F100" s="13">
        <f>E100/C100</f>
        <v>10.7</v>
      </c>
      <c r="G100" s="14">
        <v>10</v>
      </c>
      <c r="H100" s="14" t="s">
        <v>230</v>
      </c>
      <c r="I100" s="14">
        <v>775</v>
      </c>
      <c r="J100" s="12">
        <v>13</v>
      </c>
      <c r="K100" s="12">
        <v>0</v>
      </c>
      <c r="L100" s="15">
        <f>K100*10000+J100*10000</f>
        <v>130000</v>
      </c>
      <c r="M100" s="30">
        <f>(J100+K100)*30</f>
        <v>390</v>
      </c>
      <c r="N100" s="12">
        <f>J100+K100</f>
        <v>13</v>
      </c>
      <c r="O100" s="15">
        <f>K100*9950+21900*J100</f>
        <v>284700</v>
      </c>
      <c r="P100" s="16">
        <v>492</v>
      </c>
      <c r="Q100" s="15">
        <f>900*P100</f>
        <v>442800</v>
      </c>
      <c r="R100" s="49">
        <f>L100+O100+Q100</f>
        <v>857500</v>
      </c>
      <c r="S100" s="12">
        <v>2029</v>
      </c>
    </row>
    <row r="101" spans="1:19" s="17" customFormat="1" x14ac:dyDescent="0.2">
      <c r="A101" s="12" t="s">
        <v>62</v>
      </c>
      <c r="B101" s="12">
        <v>8</v>
      </c>
      <c r="C101" s="12">
        <v>2</v>
      </c>
      <c r="D101" s="12">
        <v>2</v>
      </c>
      <c r="E101" s="12">
        <v>12</v>
      </c>
      <c r="F101" s="13">
        <f>E101/C101</f>
        <v>6</v>
      </c>
      <c r="G101" s="14">
        <v>6</v>
      </c>
      <c r="H101" s="14" t="s">
        <v>235</v>
      </c>
      <c r="I101" s="14">
        <v>166</v>
      </c>
      <c r="J101" s="12">
        <v>3</v>
      </c>
      <c r="K101" s="12">
        <v>0</v>
      </c>
      <c r="L101" s="15">
        <f>J101*14000</f>
        <v>42000</v>
      </c>
      <c r="M101" s="30">
        <f>(J101+K101)*20</f>
        <v>60</v>
      </c>
      <c r="N101" s="12">
        <f>J101+K101</f>
        <v>3</v>
      </c>
      <c r="O101" s="15">
        <f>30000*N101</f>
        <v>90000</v>
      </c>
      <c r="P101" s="16">
        <v>82</v>
      </c>
      <c r="Q101" s="15">
        <f>900*P101</f>
        <v>73800</v>
      </c>
      <c r="R101" s="49">
        <f>L101+O101+Q101</f>
        <v>205800</v>
      </c>
      <c r="S101" s="12">
        <v>2029</v>
      </c>
    </row>
    <row r="102" spans="1:19" s="17" customFormat="1" x14ac:dyDescent="0.2">
      <c r="A102" s="12" t="s">
        <v>101</v>
      </c>
      <c r="B102" s="12">
        <v>14.18</v>
      </c>
      <c r="C102" s="12">
        <v>6</v>
      </c>
      <c r="D102" s="12">
        <v>6</v>
      </c>
      <c r="E102" s="12">
        <v>34</v>
      </c>
      <c r="F102" s="13">
        <f>E102/C102</f>
        <v>5.666666666666667</v>
      </c>
      <c r="G102" s="14">
        <v>8</v>
      </c>
      <c r="H102" s="14" t="s">
        <v>231</v>
      </c>
      <c r="I102" s="14">
        <v>390</v>
      </c>
      <c r="J102" s="12">
        <v>14</v>
      </c>
      <c r="K102" s="12">
        <v>0</v>
      </c>
      <c r="L102" s="15">
        <f>K102*10000+J102*10000</f>
        <v>140000</v>
      </c>
      <c r="M102" s="30">
        <f>11*25+3*15</f>
        <v>320</v>
      </c>
      <c r="N102" s="12">
        <f>J102+K102</f>
        <v>14</v>
      </c>
      <c r="O102" s="15">
        <f>K102*9950+21900*J102</f>
        <v>306600</v>
      </c>
      <c r="P102" s="16">
        <v>339</v>
      </c>
      <c r="Q102" s="15">
        <f>900*P102</f>
        <v>305100</v>
      </c>
      <c r="R102" s="49">
        <f>L102+O102+Q102</f>
        <v>751700</v>
      </c>
      <c r="S102" s="12">
        <v>2029</v>
      </c>
    </row>
    <row r="103" spans="1:19" s="17" customFormat="1" x14ac:dyDescent="0.2">
      <c r="A103" s="12" t="s">
        <v>77</v>
      </c>
      <c r="B103" s="12">
        <v>1</v>
      </c>
      <c r="C103" s="12">
        <v>12</v>
      </c>
      <c r="D103" s="12">
        <v>12</v>
      </c>
      <c r="E103" s="12">
        <v>72</v>
      </c>
      <c r="F103" s="13">
        <f>E103/C103</f>
        <v>6</v>
      </c>
      <c r="G103" s="14">
        <v>8</v>
      </c>
      <c r="H103" s="14" t="s">
        <v>231</v>
      </c>
      <c r="I103" s="14">
        <v>996</v>
      </c>
      <c r="J103" s="12">
        <v>16</v>
      </c>
      <c r="K103" s="12">
        <v>0</v>
      </c>
      <c r="L103" s="15">
        <f>K103*10000+J103*10000</f>
        <v>160000</v>
      </c>
      <c r="M103" s="30">
        <f>2*25+14*30</f>
        <v>470</v>
      </c>
      <c r="N103" s="12">
        <f>J103+K103</f>
        <v>16</v>
      </c>
      <c r="O103" s="15">
        <f>K103*9950+21900*J103</f>
        <v>350400</v>
      </c>
      <c r="P103" s="16">
        <v>542</v>
      </c>
      <c r="Q103" s="15">
        <f>900*P103</f>
        <v>487800</v>
      </c>
      <c r="R103" s="49">
        <f>L103+O103+Q103</f>
        <v>998200</v>
      </c>
      <c r="S103" s="12">
        <v>2029</v>
      </c>
    </row>
    <row r="104" spans="1:19" s="17" customFormat="1" x14ac:dyDescent="0.2">
      <c r="A104" s="12" t="s">
        <v>93</v>
      </c>
      <c r="B104" s="12">
        <v>17.18</v>
      </c>
      <c r="C104" s="12">
        <v>9</v>
      </c>
      <c r="D104" s="12">
        <v>9</v>
      </c>
      <c r="E104" s="12">
        <v>70</v>
      </c>
      <c r="F104" s="13">
        <f>E104/C104</f>
        <v>7.7777777777777777</v>
      </c>
      <c r="G104" s="14">
        <v>8</v>
      </c>
      <c r="H104" s="14" t="s">
        <v>231</v>
      </c>
      <c r="I104" s="14">
        <v>747</v>
      </c>
      <c r="J104" s="12">
        <v>14</v>
      </c>
      <c r="K104" s="12">
        <v>0</v>
      </c>
      <c r="L104" s="15">
        <f>K104*10000+J104*10000</f>
        <v>140000</v>
      </c>
      <c r="M104" s="30">
        <f>4*20+10*30</f>
        <v>380</v>
      </c>
      <c r="N104" s="12">
        <f>J104+K104</f>
        <v>14</v>
      </c>
      <c r="O104" s="15">
        <f>K104*9950+21900*J104</f>
        <v>306600</v>
      </c>
      <c r="P104" s="16">
        <v>458</v>
      </c>
      <c r="Q104" s="15">
        <f>900*P104</f>
        <v>412200</v>
      </c>
      <c r="R104" s="49">
        <f>L104+O104+Q104</f>
        <v>858800</v>
      </c>
      <c r="S104" s="12">
        <v>2029</v>
      </c>
    </row>
    <row r="105" spans="1:19" s="17" customFormat="1" x14ac:dyDescent="0.2">
      <c r="A105" s="12" t="s">
        <v>109</v>
      </c>
      <c r="B105" s="12">
        <v>12.16</v>
      </c>
      <c r="C105" s="12">
        <v>13</v>
      </c>
      <c r="D105" s="12">
        <v>13</v>
      </c>
      <c r="E105" s="12">
        <v>78</v>
      </c>
      <c r="F105" s="13">
        <f>E105/C105</f>
        <v>6</v>
      </c>
      <c r="G105" s="14">
        <v>8</v>
      </c>
      <c r="H105" s="14" t="s">
        <v>231</v>
      </c>
      <c r="I105" s="14">
        <v>1079</v>
      </c>
      <c r="J105" s="12">
        <v>14</v>
      </c>
      <c r="K105" s="12">
        <v>0</v>
      </c>
      <c r="L105" s="15">
        <f>K105*10000+J105*10000</f>
        <v>140000</v>
      </c>
      <c r="M105" s="30">
        <f>(J105+K105)*30</f>
        <v>420</v>
      </c>
      <c r="N105" s="12">
        <f>J105+K105</f>
        <v>14</v>
      </c>
      <c r="O105" s="15">
        <f>K105*9950+21900*J105</f>
        <v>306600</v>
      </c>
      <c r="P105" s="16">
        <v>492</v>
      </c>
      <c r="Q105" s="15">
        <f>900*P105</f>
        <v>442800</v>
      </c>
      <c r="R105" s="49">
        <f>L105+O105+Q105</f>
        <v>889400</v>
      </c>
      <c r="S105" s="12">
        <v>2029</v>
      </c>
    </row>
    <row r="106" spans="1:19" s="17" customFormat="1" x14ac:dyDescent="0.2">
      <c r="A106" s="12" t="s">
        <v>136</v>
      </c>
      <c r="B106" s="12">
        <v>20</v>
      </c>
      <c r="C106" s="12">
        <v>5</v>
      </c>
      <c r="D106" s="12">
        <v>5</v>
      </c>
      <c r="E106" s="12">
        <v>39</v>
      </c>
      <c r="F106" s="13">
        <f>E106/C106</f>
        <v>7.8</v>
      </c>
      <c r="G106" s="14">
        <v>6</v>
      </c>
      <c r="H106" s="14" t="s">
        <v>233</v>
      </c>
      <c r="I106" s="14">
        <v>415</v>
      </c>
      <c r="J106" s="12">
        <v>9</v>
      </c>
      <c r="K106" s="12">
        <v>0</v>
      </c>
      <c r="L106" s="15">
        <f>J106*7000</f>
        <v>63000</v>
      </c>
      <c r="M106" s="30">
        <f>(J106+K106)*20</f>
        <v>180</v>
      </c>
      <c r="N106" s="12">
        <f>J106+K106</f>
        <v>9</v>
      </c>
      <c r="O106" s="15">
        <f>9950*N106</f>
        <v>89550</v>
      </c>
      <c r="P106" s="16">
        <v>302</v>
      </c>
      <c r="Q106" s="15">
        <f>900*P106</f>
        <v>271800</v>
      </c>
      <c r="R106" s="45">
        <f>L106+O106+Q106</f>
        <v>424350</v>
      </c>
      <c r="S106" s="12">
        <v>2030</v>
      </c>
    </row>
    <row r="107" spans="1:19" s="17" customFormat="1" x14ac:dyDescent="0.2">
      <c r="A107" s="12" t="s">
        <v>13</v>
      </c>
      <c r="B107" s="12">
        <v>8</v>
      </c>
      <c r="C107" s="12">
        <v>20</v>
      </c>
      <c r="D107" s="12">
        <v>19</v>
      </c>
      <c r="E107" s="12">
        <v>100</v>
      </c>
      <c r="F107" s="13">
        <f>E107/C107</f>
        <v>5</v>
      </c>
      <c r="G107" s="14">
        <v>10</v>
      </c>
      <c r="H107" s="14" t="s">
        <v>230</v>
      </c>
      <c r="I107" s="14">
        <v>3508</v>
      </c>
      <c r="J107" s="12">
        <v>14</v>
      </c>
      <c r="K107" s="12">
        <v>6</v>
      </c>
      <c r="L107" s="15">
        <f>K107*10000+J107*10000</f>
        <v>200000</v>
      </c>
      <c r="M107" s="30">
        <f>20*40</f>
        <v>800</v>
      </c>
      <c r="N107" s="12">
        <f>J107+K107</f>
        <v>20</v>
      </c>
      <c r="O107" s="15">
        <f>K107*9950+21900*J107</f>
        <v>366300</v>
      </c>
      <c r="P107" s="16">
        <v>505</v>
      </c>
      <c r="Q107" s="15">
        <f>900*P107</f>
        <v>454500</v>
      </c>
      <c r="R107" s="45">
        <f>L107+O107+Q107</f>
        <v>1020800</v>
      </c>
      <c r="S107" s="12">
        <v>2030</v>
      </c>
    </row>
    <row r="108" spans="1:19" s="17" customFormat="1" x14ac:dyDescent="0.2">
      <c r="A108" s="12" t="s">
        <v>74</v>
      </c>
      <c r="B108" s="12">
        <v>2</v>
      </c>
      <c r="C108" s="12">
        <v>5</v>
      </c>
      <c r="D108" s="12">
        <v>5</v>
      </c>
      <c r="E108" s="12">
        <v>30</v>
      </c>
      <c r="F108" s="13">
        <f>E108/C108</f>
        <v>6</v>
      </c>
      <c r="G108" s="14">
        <v>8</v>
      </c>
      <c r="H108" s="14" t="s">
        <v>231</v>
      </c>
      <c r="I108" s="14">
        <v>415</v>
      </c>
      <c r="J108" s="12">
        <v>7</v>
      </c>
      <c r="K108" s="12">
        <v>0</v>
      </c>
      <c r="L108" s="15">
        <f>K108*10000+J108*10000</f>
        <v>70000</v>
      </c>
      <c r="M108" s="30">
        <f>(J108+K108)*25</f>
        <v>175</v>
      </c>
      <c r="N108" s="12">
        <f>J108+K108</f>
        <v>7</v>
      </c>
      <c r="O108" s="15">
        <f>K108*9950+21900*J108</f>
        <v>153300</v>
      </c>
      <c r="P108" s="16">
        <v>219</v>
      </c>
      <c r="Q108" s="15">
        <f>900*P108</f>
        <v>197100</v>
      </c>
      <c r="R108" s="45">
        <f>L108+O108+Q108</f>
        <v>420400</v>
      </c>
      <c r="S108" s="12">
        <v>2030</v>
      </c>
    </row>
    <row r="109" spans="1:19" s="17" customFormat="1" x14ac:dyDescent="0.2">
      <c r="A109" s="12" t="s">
        <v>75</v>
      </c>
      <c r="B109" s="12">
        <v>2</v>
      </c>
      <c r="C109" s="12">
        <v>2</v>
      </c>
      <c r="D109" s="12">
        <v>2</v>
      </c>
      <c r="E109" s="12">
        <v>12</v>
      </c>
      <c r="F109" s="13">
        <f>E109/C109</f>
        <v>6</v>
      </c>
      <c r="G109" s="14">
        <v>8</v>
      </c>
      <c r="H109" s="14" t="s">
        <v>231</v>
      </c>
      <c r="I109" s="14">
        <v>166</v>
      </c>
      <c r="J109" s="12">
        <v>3</v>
      </c>
      <c r="K109" s="12">
        <v>0</v>
      </c>
      <c r="L109" s="15">
        <f>K109*10000+J109*10000</f>
        <v>30000</v>
      </c>
      <c r="M109" s="30">
        <f>(J109+K109)*30</f>
        <v>90</v>
      </c>
      <c r="N109" s="12">
        <f>J109+K109</f>
        <v>3</v>
      </c>
      <c r="O109" s="15">
        <f>K109*9950+21900*J109</f>
        <v>65700</v>
      </c>
      <c r="P109" s="16">
        <v>80</v>
      </c>
      <c r="Q109" s="15">
        <f>900*P109</f>
        <v>72000</v>
      </c>
      <c r="R109" s="45">
        <f>L109+O109+Q109</f>
        <v>167700</v>
      </c>
      <c r="S109" s="12">
        <v>2030</v>
      </c>
    </row>
    <row r="110" spans="1:19" s="17" customFormat="1" x14ac:dyDescent="0.2">
      <c r="A110" s="12" t="s">
        <v>59</v>
      </c>
      <c r="B110" s="12">
        <v>2.8</v>
      </c>
      <c r="C110" s="12">
        <v>15</v>
      </c>
      <c r="D110" s="12">
        <v>15</v>
      </c>
      <c r="E110" s="12">
        <v>75</v>
      </c>
      <c r="F110" s="13">
        <f>E110/C110</f>
        <v>5</v>
      </c>
      <c r="G110" s="14">
        <v>6</v>
      </c>
      <c r="H110" s="14" t="s">
        <v>233</v>
      </c>
      <c r="I110" s="14">
        <v>495</v>
      </c>
      <c r="J110" s="12">
        <v>0</v>
      </c>
      <c r="K110" s="12">
        <v>0</v>
      </c>
      <c r="L110" s="15">
        <f>J110*7000</f>
        <v>0</v>
      </c>
      <c r="M110" s="30">
        <v>495</v>
      </c>
      <c r="N110" s="12">
        <v>15</v>
      </c>
      <c r="O110" s="15">
        <f>9950*N110</f>
        <v>149250</v>
      </c>
      <c r="P110" s="16">
        <v>313</v>
      </c>
      <c r="Q110" s="15">
        <f>900*P110</f>
        <v>281700</v>
      </c>
      <c r="R110" s="45">
        <f>L110+O110+Q110</f>
        <v>430950</v>
      </c>
      <c r="S110" s="12">
        <v>2030</v>
      </c>
    </row>
    <row r="111" spans="1:19" s="17" customFormat="1" x14ac:dyDescent="0.2">
      <c r="A111" s="12" t="s">
        <v>40</v>
      </c>
      <c r="B111" s="12">
        <v>3</v>
      </c>
      <c r="C111" s="12">
        <v>4</v>
      </c>
      <c r="D111" s="12">
        <v>4</v>
      </c>
      <c r="E111" s="12">
        <v>14</v>
      </c>
      <c r="F111" s="13">
        <f>E111/C111</f>
        <v>3.5</v>
      </c>
      <c r="G111" s="14">
        <v>8</v>
      </c>
      <c r="H111" s="14" t="s">
        <v>231</v>
      </c>
      <c r="I111" s="14">
        <v>250</v>
      </c>
      <c r="J111" s="12">
        <v>14</v>
      </c>
      <c r="K111" s="12">
        <v>0</v>
      </c>
      <c r="L111" s="15">
        <f>K111*10000+J111*10000</f>
        <v>140000</v>
      </c>
      <c r="M111" s="30">
        <f>6*25+8*25</f>
        <v>350</v>
      </c>
      <c r="N111" s="12">
        <f>J111+K111</f>
        <v>14</v>
      </c>
      <c r="O111" s="15">
        <f>K111*9950+21900*J111</f>
        <v>306600</v>
      </c>
      <c r="P111" s="16">
        <v>300</v>
      </c>
      <c r="Q111" s="15">
        <f>900*P111</f>
        <v>270000</v>
      </c>
      <c r="R111" s="45">
        <f>L111+O111+Q111</f>
        <v>716600</v>
      </c>
      <c r="S111" s="12">
        <v>2030</v>
      </c>
    </row>
    <row r="112" spans="1:19" s="17" customFormat="1" x14ac:dyDescent="0.2">
      <c r="A112" s="12" t="s">
        <v>64</v>
      </c>
      <c r="B112" s="12">
        <v>8</v>
      </c>
      <c r="C112" s="12">
        <v>1</v>
      </c>
      <c r="D112" s="12">
        <v>1</v>
      </c>
      <c r="E112" s="12">
        <v>6</v>
      </c>
      <c r="F112" s="13">
        <f>E112/C112</f>
        <v>6</v>
      </c>
      <c r="G112" s="14">
        <v>6</v>
      </c>
      <c r="H112" s="14" t="s">
        <v>235</v>
      </c>
      <c r="I112" s="14">
        <v>83</v>
      </c>
      <c r="J112" s="12">
        <v>4</v>
      </c>
      <c r="K112" s="12">
        <v>0</v>
      </c>
      <c r="L112" s="15">
        <f>J112*14000</f>
        <v>56000</v>
      </c>
      <c r="M112" s="30">
        <f>(J112+K112)*25</f>
        <v>100</v>
      </c>
      <c r="N112" s="12">
        <f>J112+K112</f>
        <v>4</v>
      </c>
      <c r="O112" s="15">
        <f>30000*N112</f>
        <v>120000</v>
      </c>
      <c r="P112" s="16">
        <v>117</v>
      </c>
      <c r="Q112" s="15">
        <f>900*P112</f>
        <v>105300</v>
      </c>
      <c r="R112" s="45">
        <f>L112+O112+Q112</f>
        <v>281300</v>
      </c>
      <c r="S112" s="12">
        <v>2030</v>
      </c>
    </row>
    <row r="113" spans="1:19" s="17" customFormat="1" x14ac:dyDescent="0.2">
      <c r="A113" s="12" t="s">
        <v>63</v>
      </c>
      <c r="B113" s="12">
        <v>8</v>
      </c>
      <c r="C113" s="12">
        <v>4</v>
      </c>
      <c r="D113" s="12">
        <v>4</v>
      </c>
      <c r="E113" s="12">
        <v>24</v>
      </c>
      <c r="F113" s="13">
        <f>E113/C113</f>
        <v>6</v>
      </c>
      <c r="G113" s="14">
        <v>6</v>
      </c>
      <c r="H113" s="14" t="s">
        <v>235</v>
      </c>
      <c r="I113" s="14">
        <v>332</v>
      </c>
      <c r="J113" s="12">
        <v>4</v>
      </c>
      <c r="K113" s="12">
        <v>0</v>
      </c>
      <c r="L113" s="15">
        <f>J113*14000</f>
        <v>56000</v>
      </c>
      <c r="M113" s="30">
        <f>(J113+K113)*25</f>
        <v>100</v>
      </c>
      <c r="N113" s="12">
        <f>J113+K113</f>
        <v>4</v>
      </c>
      <c r="O113" s="15">
        <f>30000*N113</f>
        <v>120000</v>
      </c>
      <c r="P113" s="16">
        <v>128</v>
      </c>
      <c r="Q113" s="15">
        <f>900*P113</f>
        <v>115200</v>
      </c>
      <c r="R113" s="45">
        <f>L113+O113+Q113</f>
        <v>291200</v>
      </c>
      <c r="S113" s="12">
        <v>2030</v>
      </c>
    </row>
    <row r="114" spans="1:19" s="17" customFormat="1" x14ac:dyDescent="0.2">
      <c r="A114" s="12" t="s">
        <v>70</v>
      </c>
      <c r="B114" s="12">
        <v>2</v>
      </c>
      <c r="C114" s="12">
        <v>5</v>
      </c>
      <c r="D114" s="12">
        <v>5</v>
      </c>
      <c r="E114" s="12">
        <v>30</v>
      </c>
      <c r="F114" s="13">
        <f>E114/C114</f>
        <v>6</v>
      </c>
      <c r="G114" s="14" t="s">
        <v>224</v>
      </c>
      <c r="H114" s="14" t="s">
        <v>237</v>
      </c>
      <c r="I114" s="14">
        <v>415</v>
      </c>
      <c r="J114" s="12">
        <v>7</v>
      </c>
      <c r="K114" s="12">
        <v>0</v>
      </c>
      <c r="L114" s="15">
        <f>4*10000+3*7000</f>
        <v>61000</v>
      </c>
      <c r="M114" s="30">
        <f>4*25+3*15</f>
        <v>145</v>
      </c>
      <c r="N114" s="12">
        <f>J114+K114</f>
        <v>7</v>
      </c>
      <c r="O114" s="15">
        <f>4*21900+3*9950</f>
        <v>117450</v>
      </c>
      <c r="P114" s="16">
        <v>203</v>
      </c>
      <c r="Q114" s="15">
        <f>900*P114</f>
        <v>182700</v>
      </c>
      <c r="R114" s="45">
        <f>L114+O114+Q114</f>
        <v>361150</v>
      </c>
      <c r="S114" s="12">
        <v>2030</v>
      </c>
    </row>
    <row r="115" spans="1:19" s="17" customFormat="1" x14ac:dyDescent="0.2">
      <c r="A115" s="12" t="s">
        <v>122</v>
      </c>
      <c r="B115" s="12">
        <v>21</v>
      </c>
      <c r="C115" s="12">
        <v>7</v>
      </c>
      <c r="D115" s="12">
        <v>7</v>
      </c>
      <c r="E115" s="12">
        <v>73</v>
      </c>
      <c r="F115" s="13">
        <f>E115/C115</f>
        <v>10.428571428571429</v>
      </c>
      <c r="G115" s="14">
        <v>8</v>
      </c>
      <c r="H115" s="14" t="s">
        <v>231</v>
      </c>
      <c r="I115" s="14">
        <v>668</v>
      </c>
      <c r="J115" s="12">
        <v>11</v>
      </c>
      <c r="K115" s="12">
        <v>0</v>
      </c>
      <c r="L115" s="15">
        <f>K115*10000+J115*10000</f>
        <v>110000</v>
      </c>
      <c r="M115" s="30">
        <f>(J115+K115)*20</f>
        <v>220</v>
      </c>
      <c r="N115" s="12">
        <f>J115+K115</f>
        <v>11</v>
      </c>
      <c r="O115" s="15">
        <f>K115*9950+21900*J115</f>
        <v>240900</v>
      </c>
      <c r="P115" s="16">
        <v>339</v>
      </c>
      <c r="Q115" s="15">
        <f>900*P115</f>
        <v>305100</v>
      </c>
      <c r="R115" s="45">
        <f>L115+O115+Q115</f>
        <v>656000</v>
      </c>
      <c r="S115" s="12">
        <v>2030</v>
      </c>
    </row>
    <row r="116" spans="1:19" s="17" customFormat="1" x14ac:dyDescent="0.2">
      <c r="A116" s="12" t="s">
        <v>120</v>
      </c>
      <c r="B116" s="12">
        <v>21</v>
      </c>
      <c r="C116" s="12">
        <v>6</v>
      </c>
      <c r="D116" s="12">
        <v>6</v>
      </c>
      <c r="E116" s="12">
        <v>36</v>
      </c>
      <c r="F116" s="13">
        <f>E116/C116</f>
        <v>6</v>
      </c>
      <c r="G116" s="14">
        <v>10</v>
      </c>
      <c r="H116" s="14" t="s">
        <v>230</v>
      </c>
      <c r="I116" s="14">
        <v>498</v>
      </c>
      <c r="J116" s="12">
        <v>10</v>
      </c>
      <c r="K116" s="12">
        <v>0</v>
      </c>
      <c r="L116" s="15">
        <f>K116*10000+J116*10000</f>
        <v>100000</v>
      </c>
      <c r="M116" s="30">
        <f>(J116+K116)*40</f>
        <v>400</v>
      </c>
      <c r="N116" s="12">
        <f>J116+K116</f>
        <v>10</v>
      </c>
      <c r="O116" s="15">
        <f>K116*9950+21900*J116</f>
        <v>219000</v>
      </c>
      <c r="P116" s="16">
        <v>350</v>
      </c>
      <c r="Q116" s="15">
        <f>900*P116</f>
        <v>315000</v>
      </c>
      <c r="R116" s="45">
        <f>L116+O116+Q116</f>
        <v>634000</v>
      </c>
      <c r="S116" s="12">
        <v>2030</v>
      </c>
    </row>
    <row r="117" spans="1:19" s="17" customFormat="1" x14ac:dyDescent="0.2">
      <c r="A117" s="12" t="s">
        <v>125</v>
      </c>
      <c r="B117" s="12">
        <v>21</v>
      </c>
      <c r="C117" s="12">
        <v>11</v>
      </c>
      <c r="D117" s="12">
        <v>11</v>
      </c>
      <c r="E117" s="12">
        <v>61</v>
      </c>
      <c r="F117" s="13">
        <f>E117/C117</f>
        <v>5.5454545454545459</v>
      </c>
      <c r="G117" s="14">
        <v>8</v>
      </c>
      <c r="H117" s="14" t="s">
        <v>231</v>
      </c>
      <c r="I117" s="14">
        <v>1032</v>
      </c>
      <c r="J117" s="12">
        <v>18</v>
      </c>
      <c r="K117" s="12">
        <v>0</v>
      </c>
      <c r="L117" s="15">
        <f>K117*10000+J117*10000</f>
        <v>180000</v>
      </c>
      <c r="M117" s="30">
        <f>8*25+10*20</f>
        <v>400</v>
      </c>
      <c r="N117" s="12">
        <f>J117+K117</f>
        <v>18</v>
      </c>
      <c r="O117" s="15">
        <f>K117*9950+21900*J117</f>
        <v>394200</v>
      </c>
      <c r="P117" s="16">
        <v>530</v>
      </c>
      <c r="Q117" s="15">
        <f>900*P117</f>
        <v>477000</v>
      </c>
      <c r="R117" s="45">
        <f>L117+O117+Q117</f>
        <v>1051200</v>
      </c>
      <c r="S117" s="12">
        <v>2030</v>
      </c>
    </row>
    <row r="118" spans="1:19" s="17" customFormat="1" x14ac:dyDescent="0.2">
      <c r="A118" s="12" t="s">
        <v>121</v>
      </c>
      <c r="B118" s="12">
        <v>21</v>
      </c>
      <c r="C118" s="12">
        <v>4</v>
      </c>
      <c r="D118" s="12">
        <v>4</v>
      </c>
      <c r="E118" s="12">
        <v>44</v>
      </c>
      <c r="F118" s="13">
        <f>E118/C118</f>
        <v>11</v>
      </c>
      <c r="G118" s="14">
        <v>8</v>
      </c>
      <c r="H118" s="14" t="s">
        <v>231</v>
      </c>
      <c r="I118" s="14">
        <v>332</v>
      </c>
      <c r="J118" s="12">
        <v>7</v>
      </c>
      <c r="K118" s="12">
        <v>0</v>
      </c>
      <c r="L118" s="15">
        <f>K118*10000+J118*10000</f>
        <v>70000</v>
      </c>
      <c r="M118" s="30">
        <f>(J118+K118)*20</f>
        <v>140</v>
      </c>
      <c r="N118" s="12">
        <f>J118+K118</f>
        <v>7</v>
      </c>
      <c r="O118" s="15">
        <f>K118*9950+21900*J118</f>
        <v>153300</v>
      </c>
      <c r="P118" s="16">
        <v>232</v>
      </c>
      <c r="Q118" s="15">
        <f>900*P118</f>
        <v>208800</v>
      </c>
      <c r="R118" s="45">
        <f>L118+O118+Q118</f>
        <v>432100</v>
      </c>
      <c r="S118" s="12">
        <v>2030</v>
      </c>
    </row>
    <row r="119" spans="1:19" s="17" customFormat="1" x14ac:dyDescent="0.2">
      <c r="A119" s="12" t="s">
        <v>123</v>
      </c>
      <c r="B119" s="12">
        <v>21</v>
      </c>
      <c r="C119" s="12">
        <v>22</v>
      </c>
      <c r="D119" s="12">
        <v>22</v>
      </c>
      <c r="E119" s="12">
        <v>132</v>
      </c>
      <c r="F119" s="13">
        <f>E119/C119</f>
        <v>6</v>
      </c>
      <c r="G119" s="14">
        <v>8</v>
      </c>
      <c r="H119" s="14" t="s">
        <v>231</v>
      </c>
      <c r="I119" s="14">
        <v>1826</v>
      </c>
      <c r="J119" s="12">
        <v>28</v>
      </c>
      <c r="K119" s="12">
        <v>0</v>
      </c>
      <c r="L119" s="15">
        <f>K119*10000+J119*10000</f>
        <v>280000</v>
      </c>
      <c r="M119" s="30">
        <f>8*15+20*20</f>
        <v>520</v>
      </c>
      <c r="N119" s="12">
        <f>J119+K119</f>
        <v>28</v>
      </c>
      <c r="O119" s="15">
        <f>K119*9950+21900*J119</f>
        <v>613200</v>
      </c>
      <c r="P119" s="16">
        <v>916</v>
      </c>
      <c r="Q119" s="15">
        <f>900*P119</f>
        <v>824400</v>
      </c>
      <c r="R119" s="45">
        <f>L119+O119+Q119</f>
        <v>1717600</v>
      </c>
      <c r="S119" s="12">
        <v>2030</v>
      </c>
    </row>
    <row r="120" spans="1:19" s="17" customFormat="1" x14ac:dyDescent="0.2">
      <c r="A120" s="12" t="s">
        <v>119</v>
      </c>
      <c r="B120" s="12">
        <v>21</v>
      </c>
      <c r="C120" s="12">
        <v>2</v>
      </c>
      <c r="D120" s="12">
        <v>2</v>
      </c>
      <c r="E120" s="12">
        <v>13</v>
      </c>
      <c r="F120" s="13">
        <f>E120/C120</f>
        <v>6.5</v>
      </c>
      <c r="G120" s="14">
        <v>8</v>
      </c>
      <c r="H120" s="14" t="s">
        <v>231</v>
      </c>
      <c r="I120" s="14">
        <v>253</v>
      </c>
      <c r="J120" s="12">
        <v>4</v>
      </c>
      <c r="K120" s="12">
        <v>0</v>
      </c>
      <c r="L120" s="15">
        <f>K120*10000+J120*10000</f>
        <v>40000</v>
      </c>
      <c r="M120" s="30">
        <f>(J120+K120)*30</f>
        <v>120</v>
      </c>
      <c r="N120" s="12">
        <f>J120+K120</f>
        <v>4</v>
      </c>
      <c r="O120" s="15">
        <f>K120*9950+21900*J120</f>
        <v>87600</v>
      </c>
      <c r="P120" s="16">
        <v>93</v>
      </c>
      <c r="Q120" s="15">
        <f>900*P120</f>
        <v>83700</v>
      </c>
      <c r="R120" s="45">
        <f>L120+O120+Q120</f>
        <v>211300</v>
      </c>
      <c r="S120" s="12">
        <v>2030</v>
      </c>
    </row>
    <row r="121" spans="1:19" s="17" customFormat="1" x14ac:dyDescent="0.2">
      <c r="A121" s="12" t="s">
        <v>124</v>
      </c>
      <c r="B121" s="12">
        <v>21</v>
      </c>
      <c r="C121" s="12">
        <v>9</v>
      </c>
      <c r="D121" s="12">
        <v>9</v>
      </c>
      <c r="E121" s="12">
        <v>49</v>
      </c>
      <c r="F121" s="13">
        <f>E121/C121</f>
        <v>5.4444444444444446</v>
      </c>
      <c r="G121" s="14">
        <v>8</v>
      </c>
      <c r="H121" s="14" t="s">
        <v>231</v>
      </c>
      <c r="I121" s="14">
        <v>694</v>
      </c>
      <c r="J121" s="12">
        <v>8</v>
      </c>
      <c r="K121" s="12">
        <v>0</v>
      </c>
      <c r="L121" s="15">
        <f>K121*10000+J121*10000</f>
        <v>80000</v>
      </c>
      <c r="M121" s="30">
        <f>(J121+K121)*30</f>
        <v>240</v>
      </c>
      <c r="N121" s="12">
        <f>J121+K121</f>
        <v>8</v>
      </c>
      <c r="O121" s="15">
        <f>K121*9950+21900*J121</f>
        <v>175200</v>
      </c>
      <c r="P121" s="16">
        <v>258</v>
      </c>
      <c r="Q121" s="15">
        <f>900*P121</f>
        <v>232200</v>
      </c>
      <c r="R121" s="45">
        <f>L121+O121+Q121</f>
        <v>487400</v>
      </c>
      <c r="S121" s="12">
        <v>2030</v>
      </c>
    </row>
    <row r="122" spans="1:19" s="17" customFormat="1" x14ac:dyDescent="0.2">
      <c r="A122" s="12" t="s">
        <v>87</v>
      </c>
      <c r="B122" s="12">
        <v>5.17</v>
      </c>
      <c r="C122" s="12">
        <v>8</v>
      </c>
      <c r="D122" s="12">
        <v>8</v>
      </c>
      <c r="E122" s="12">
        <v>25</v>
      </c>
      <c r="F122" s="13">
        <f>E122/C122</f>
        <v>3.125</v>
      </c>
      <c r="G122" s="14">
        <v>8</v>
      </c>
      <c r="H122" s="14" t="s">
        <v>231</v>
      </c>
      <c r="I122" s="14">
        <v>421</v>
      </c>
      <c r="J122" s="12">
        <v>2</v>
      </c>
      <c r="K122" s="12">
        <v>0</v>
      </c>
      <c r="L122" s="15">
        <f>K122*10000+J122*10000</f>
        <v>20000</v>
      </c>
      <c r="M122" s="30">
        <f>J122*25</f>
        <v>50</v>
      </c>
      <c r="N122" s="12">
        <f>J122+K122</f>
        <v>2</v>
      </c>
      <c r="O122" s="15">
        <f>K122*9950+21900*J122</f>
        <v>43800</v>
      </c>
      <c r="P122" s="16">
        <v>329</v>
      </c>
      <c r="Q122" s="15">
        <v>0</v>
      </c>
      <c r="R122" s="45">
        <f>L122+O122+Q122</f>
        <v>63800</v>
      </c>
      <c r="S122" s="12">
        <v>2030</v>
      </c>
    </row>
    <row r="123" spans="1:19" s="17" customFormat="1" x14ac:dyDescent="0.2">
      <c r="A123" s="12" t="s">
        <v>48</v>
      </c>
      <c r="B123" s="12">
        <v>9</v>
      </c>
      <c r="C123" s="12">
        <v>19</v>
      </c>
      <c r="D123" s="12">
        <v>15</v>
      </c>
      <c r="E123" s="12">
        <v>117</v>
      </c>
      <c r="F123" s="13">
        <f>E123/C123</f>
        <v>6.1578947368421053</v>
      </c>
      <c r="G123" s="14" t="s">
        <v>227</v>
      </c>
      <c r="H123" s="14" t="s">
        <v>237</v>
      </c>
      <c r="I123" s="14">
        <v>1577</v>
      </c>
      <c r="J123" s="12">
        <v>16</v>
      </c>
      <c r="K123" s="12">
        <v>0</v>
      </c>
      <c r="L123" s="15">
        <f>3*10000+13*7000</f>
        <v>121000</v>
      </c>
      <c r="M123" s="30">
        <f>13*15+3*30</f>
        <v>285</v>
      </c>
      <c r="N123" s="12">
        <f>J123+K123</f>
        <v>16</v>
      </c>
      <c r="O123" s="15">
        <f>3*21900+13*9950</f>
        <v>195050</v>
      </c>
      <c r="P123" s="16">
        <v>515</v>
      </c>
      <c r="Q123" s="15">
        <f>900*P123</f>
        <v>463500</v>
      </c>
      <c r="R123" s="45">
        <f>L123+O123+Q123</f>
        <v>779550</v>
      </c>
      <c r="S123" s="12">
        <v>2030</v>
      </c>
    </row>
    <row r="124" spans="1:19" s="17" customFormat="1" x14ac:dyDescent="0.2">
      <c r="A124" s="12" t="s">
        <v>141</v>
      </c>
      <c r="B124" s="12">
        <v>10</v>
      </c>
      <c r="C124" s="12">
        <v>14</v>
      </c>
      <c r="D124" s="12">
        <v>14</v>
      </c>
      <c r="E124" s="12">
        <v>56</v>
      </c>
      <c r="F124" s="13">
        <f>E124/C124</f>
        <v>4</v>
      </c>
      <c r="G124" s="14">
        <v>8</v>
      </c>
      <c r="H124" s="14" t="s">
        <v>231</v>
      </c>
      <c r="I124" s="14">
        <v>1162</v>
      </c>
      <c r="J124" s="12">
        <v>15</v>
      </c>
      <c r="K124" s="12">
        <v>0</v>
      </c>
      <c r="L124" s="15">
        <f>K124*10000+J124*10000</f>
        <v>150000</v>
      </c>
      <c r="M124" s="30">
        <f>4*20+11*30</f>
        <v>410</v>
      </c>
      <c r="N124" s="12">
        <f>J124+K124</f>
        <v>15</v>
      </c>
      <c r="O124" s="15">
        <f>K124*9950+21900*J124</f>
        <v>328500</v>
      </c>
      <c r="P124" s="16">
        <v>492</v>
      </c>
      <c r="Q124" s="15">
        <f>900*P124</f>
        <v>442800</v>
      </c>
      <c r="R124" s="43">
        <f>L124+O124+Q124</f>
        <v>921300</v>
      </c>
      <c r="S124" s="12">
        <v>2031</v>
      </c>
    </row>
    <row r="125" spans="1:19" s="17" customFormat="1" x14ac:dyDescent="0.2">
      <c r="A125" s="12" t="s">
        <v>131</v>
      </c>
      <c r="B125" s="12">
        <v>9</v>
      </c>
      <c r="C125" s="12">
        <v>20</v>
      </c>
      <c r="D125" s="12">
        <v>20</v>
      </c>
      <c r="E125" s="12">
        <v>80</v>
      </c>
      <c r="F125" s="13">
        <f>E125/C125</f>
        <v>4</v>
      </c>
      <c r="G125" s="14">
        <v>8</v>
      </c>
      <c r="H125" s="14" t="s">
        <v>231</v>
      </c>
      <c r="I125" s="14">
        <v>1660</v>
      </c>
      <c r="J125" s="12">
        <v>24</v>
      </c>
      <c r="K125" s="12">
        <v>0</v>
      </c>
      <c r="L125" s="15">
        <f>K125*10000+J125*10000</f>
        <v>240000</v>
      </c>
      <c r="M125" s="30">
        <f>10*25+11*20+3*30</f>
        <v>560</v>
      </c>
      <c r="N125" s="12">
        <f>J125+K125</f>
        <v>24</v>
      </c>
      <c r="O125" s="15">
        <f>K125*9950+21900*J125</f>
        <v>525600</v>
      </c>
      <c r="P125" s="16">
        <v>672</v>
      </c>
      <c r="Q125" s="15">
        <f>900*P125</f>
        <v>604800</v>
      </c>
      <c r="R125" s="43">
        <f>L125+O125+Q125</f>
        <v>1370400</v>
      </c>
      <c r="S125" s="12">
        <v>2031</v>
      </c>
    </row>
    <row r="126" spans="1:19" s="17" customFormat="1" x14ac:dyDescent="0.2">
      <c r="A126" s="12" t="s">
        <v>132</v>
      </c>
      <c r="B126" s="12">
        <v>10</v>
      </c>
      <c r="C126" s="12">
        <v>8</v>
      </c>
      <c r="D126" s="12">
        <v>8</v>
      </c>
      <c r="E126" s="12">
        <v>32</v>
      </c>
      <c r="F126" s="13">
        <f>E126/C126</f>
        <v>4</v>
      </c>
      <c r="G126" s="14">
        <v>8</v>
      </c>
      <c r="H126" s="14" t="s">
        <v>231</v>
      </c>
      <c r="I126" s="14">
        <v>664</v>
      </c>
      <c r="J126" s="12">
        <v>8</v>
      </c>
      <c r="K126" s="12">
        <v>0</v>
      </c>
      <c r="L126" s="15">
        <f>K126*10000+J126*10000</f>
        <v>80000</v>
      </c>
      <c r="M126" s="30">
        <f>(J126+K126)*30</f>
        <v>240</v>
      </c>
      <c r="N126" s="12">
        <f>J126+K126</f>
        <v>8</v>
      </c>
      <c r="O126" s="15">
        <f>K126*9950+21900*J126</f>
        <v>175200</v>
      </c>
      <c r="P126" s="16">
        <v>284</v>
      </c>
      <c r="Q126" s="15">
        <f>900*P126</f>
        <v>255600</v>
      </c>
      <c r="R126" s="43">
        <f>L126+O126+Q126</f>
        <v>510800</v>
      </c>
      <c r="S126" s="12">
        <v>2031</v>
      </c>
    </row>
    <row r="127" spans="1:19" s="17" customFormat="1" x14ac:dyDescent="0.2">
      <c r="A127" s="12" t="s">
        <v>113</v>
      </c>
      <c r="B127" s="12">
        <v>14</v>
      </c>
      <c r="C127" s="12">
        <v>39</v>
      </c>
      <c r="D127" s="12">
        <v>29</v>
      </c>
      <c r="E127" s="12">
        <v>227</v>
      </c>
      <c r="F127" s="13">
        <f>E127/C127</f>
        <v>5.8205128205128203</v>
      </c>
      <c r="G127" s="14" t="s">
        <v>217</v>
      </c>
      <c r="H127" s="14" t="s">
        <v>232</v>
      </c>
      <c r="I127" s="14">
        <v>5160</v>
      </c>
      <c r="J127" s="12">
        <v>21</v>
      </c>
      <c r="K127" s="12">
        <v>6</v>
      </c>
      <c r="L127" s="15">
        <f>K127*10000+9*10000+12*14000</f>
        <v>318000</v>
      </c>
      <c r="M127" s="30">
        <f>9*20+6*80+6*60+6*80</f>
        <v>1500</v>
      </c>
      <c r="N127" s="12">
        <f>J127+K127</f>
        <v>27</v>
      </c>
      <c r="O127" s="15">
        <f>9950*K127+9*21900+12*30000</f>
        <v>616800</v>
      </c>
      <c r="P127" s="16">
        <v>431</v>
      </c>
      <c r="Q127" s="15">
        <f>900*P127</f>
        <v>387900</v>
      </c>
      <c r="R127" s="43">
        <f>L127+O127+Q127</f>
        <v>1322700</v>
      </c>
      <c r="S127" s="12">
        <v>2031</v>
      </c>
    </row>
    <row r="128" spans="1:19" s="17" customFormat="1" x14ac:dyDescent="0.2">
      <c r="A128" s="12" t="s">
        <v>129</v>
      </c>
      <c r="B128" s="12">
        <v>9</v>
      </c>
      <c r="C128" s="12">
        <v>12</v>
      </c>
      <c r="D128" s="12">
        <v>12</v>
      </c>
      <c r="E128" s="12">
        <v>48</v>
      </c>
      <c r="F128" s="13">
        <f>E128/C128</f>
        <v>4</v>
      </c>
      <c r="G128" s="14">
        <v>8</v>
      </c>
      <c r="H128" s="14" t="s">
        <v>231</v>
      </c>
      <c r="I128" s="14">
        <v>996</v>
      </c>
      <c r="J128" s="12">
        <v>16</v>
      </c>
      <c r="K128" s="12">
        <v>0</v>
      </c>
      <c r="L128" s="15">
        <f>K128*10000+J128*10000</f>
        <v>160000</v>
      </c>
      <c r="M128" s="30">
        <f>13*20+3*30</f>
        <v>350</v>
      </c>
      <c r="N128" s="12">
        <f>J128+K128</f>
        <v>16</v>
      </c>
      <c r="O128" s="15">
        <f>K128*9950+21900*J128</f>
        <v>350400</v>
      </c>
      <c r="P128" s="16">
        <v>494</v>
      </c>
      <c r="Q128" s="15">
        <f>900*P128</f>
        <v>444600</v>
      </c>
      <c r="R128" s="43">
        <f>L128+O128+Q128</f>
        <v>955000</v>
      </c>
      <c r="S128" s="12">
        <v>2031</v>
      </c>
    </row>
    <row r="129" spans="1:19" s="17" customFormat="1" x14ac:dyDescent="0.2">
      <c r="A129" s="12" t="s">
        <v>91</v>
      </c>
      <c r="B129" s="12">
        <v>19</v>
      </c>
      <c r="C129" s="12">
        <v>13</v>
      </c>
      <c r="D129" s="12">
        <v>13</v>
      </c>
      <c r="E129" s="12">
        <v>61</v>
      </c>
      <c r="F129" s="13">
        <f>E129/C129</f>
        <v>4.6923076923076925</v>
      </c>
      <c r="G129" s="14">
        <v>10</v>
      </c>
      <c r="H129" s="14" t="s">
        <v>236</v>
      </c>
      <c r="I129" s="14">
        <v>2080</v>
      </c>
      <c r="J129" s="12">
        <v>19</v>
      </c>
      <c r="K129" s="12">
        <v>0</v>
      </c>
      <c r="L129" s="15">
        <f>K129*10000+J129*10000</f>
        <v>190000</v>
      </c>
      <c r="M129" s="30">
        <f>(J129+K129)*25</f>
        <v>475</v>
      </c>
      <c r="N129" s="12">
        <f>J129+K129</f>
        <v>19</v>
      </c>
      <c r="O129" s="15">
        <f>K129*9950+21900*J129</f>
        <v>416100</v>
      </c>
      <c r="P129" s="16">
        <v>584</v>
      </c>
      <c r="Q129" s="15">
        <f>900*P129</f>
        <v>525600</v>
      </c>
      <c r="R129" s="43">
        <f>L129+O129+Q129</f>
        <v>1131700</v>
      </c>
      <c r="S129" s="12">
        <v>2031</v>
      </c>
    </row>
    <row r="130" spans="1:19" s="17" customFormat="1" x14ac:dyDescent="0.2">
      <c r="A130" s="12" t="s">
        <v>140</v>
      </c>
      <c r="B130" s="12">
        <v>10</v>
      </c>
      <c r="C130" s="12">
        <v>10</v>
      </c>
      <c r="D130" s="12">
        <v>10</v>
      </c>
      <c r="E130" s="12">
        <v>40</v>
      </c>
      <c r="F130" s="13">
        <f>E130/C130</f>
        <v>4</v>
      </c>
      <c r="G130" s="14">
        <v>8</v>
      </c>
      <c r="H130" s="14" t="s">
        <v>231</v>
      </c>
      <c r="I130" s="14">
        <v>830</v>
      </c>
      <c r="J130" s="12">
        <v>10</v>
      </c>
      <c r="K130" s="12">
        <v>0</v>
      </c>
      <c r="L130" s="15">
        <f>K130*10000+J130*10000</f>
        <v>100000</v>
      </c>
      <c r="M130" s="30">
        <f>(J130+K130)*30</f>
        <v>300</v>
      </c>
      <c r="N130" s="12">
        <f>J130+K130</f>
        <v>10</v>
      </c>
      <c r="O130" s="15">
        <f>K130*9950+21900*J130</f>
        <v>219000</v>
      </c>
      <c r="P130" s="16">
        <v>358</v>
      </c>
      <c r="Q130" s="15">
        <f>900*P130</f>
        <v>322200</v>
      </c>
      <c r="R130" s="43">
        <f>L130+O130+Q130</f>
        <v>641200</v>
      </c>
      <c r="S130" s="12">
        <v>2031</v>
      </c>
    </row>
    <row r="131" spans="1:19" s="17" customFormat="1" x14ac:dyDescent="0.2">
      <c r="A131" s="12" t="s">
        <v>130</v>
      </c>
      <c r="B131" s="12" t="s">
        <v>190</v>
      </c>
      <c r="C131" s="12">
        <v>11</v>
      </c>
      <c r="D131" s="12">
        <v>11</v>
      </c>
      <c r="E131" s="12">
        <v>44</v>
      </c>
      <c r="F131" s="13">
        <f>E131/C131</f>
        <v>4</v>
      </c>
      <c r="G131" s="14">
        <v>8</v>
      </c>
      <c r="H131" s="14" t="s">
        <v>231</v>
      </c>
      <c r="I131" s="14">
        <v>913</v>
      </c>
      <c r="J131" s="12">
        <v>13</v>
      </c>
      <c r="K131" s="12">
        <v>0</v>
      </c>
      <c r="L131" s="15">
        <f>K131*10000+J131*10000</f>
        <v>130000</v>
      </c>
      <c r="M131" s="30">
        <f>(J131+K131)*20</f>
        <v>260</v>
      </c>
      <c r="N131" s="12">
        <f>J131+K131</f>
        <v>13</v>
      </c>
      <c r="O131" s="15">
        <f>K131*9950+21900*J131</f>
        <v>284700</v>
      </c>
      <c r="P131" s="16">
        <v>447</v>
      </c>
      <c r="Q131" s="15">
        <f>900*P131</f>
        <v>402300</v>
      </c>
      <c r="R131" s="43">
        <f>L131+O131+Q131</f>
        <v>817000</v>
      </c>
      <c r="S131" s="12">
        <v>2031</v>
      </c>
    </row>
    <row r="132" spans="1:19" s="17" customFormat="1" x14ac:dyDescent="0.2">
      <c r="A132" s="12" t="s">
        <v>42</v>
      </c>
      <c r="B132" s="12">
        <v>9</v>
      </c>
      <c r="C132" s="12">
        <v>6</v>
      </c>
      <c r="D132" s="12">
        <v>6</v>
      </c>
      <c r="E132" s="12">
        <v>30</v>
      </c>
      <c r="F132" s="13">
        <f>E132/C132</f>
        <v>5</v>
      </c>
      <c r="G132" s="14">
        <v>8</v>
      </c>
      <c r="H132" s="14" t="s">
        <v>231</v>
      </c>
      <c r="I132" s="14">
        <v>498</v>
      </c>
      <c r="J132" s="12">
        <v>13</v>
      </c>
      <c r="K132" s="12">
        <v>0</v>
      </c>
      <c r="L132" s="15">
        <f>K132*10000+J132*10000</f>
        <v>130000</v>
      </c>
      <c r="M132" s="30">
        <f>9*20+4*30</f>
        <v>300</v>
      </c>
      <c r="N132" s="12">
        <f>J132+K132</f>
        <v>13</v>
      </c>
      <c r="O132" s="15">
        <f>K132*9950+21900*J132</f>
        <v>284700</v>
      </c>
      <c r="P132" s="16">
        <v>398</v>
      </c>
      <c r="Q132" s="15">
        <f>900*P132</f>
        <v>358200</v>
      </c>
      <c r="R132" s="43">
        <f>L132+O132+Q132</f>
        <v>772900</v>
      </c>
      <c r="S132" s="12">
        <v>2031</v>
      </c>
    </row>
    <row r="133" spans="1:19" s="17" customFormat="1" x14ac:dyDescent="0.2">
      <c r="A133" s="12" t="s">
        <v>50</v>
      </c>
      <c r="B133" s="12">
        <v>9.11</v>
      </c>
      <c r="C133" s="12">
        <v>28</v>
      </c>
      <c r="D133" s="12">
        <v>16</v>
      </c>
      <c r="E133" s="12">
        <v>168</v>
      </c>
      <c r="F133" s="13">
        <f>E133/C133</f>
        <v>6</v>
      </c>
      <c r="G133" s="14">
        <v>10</v>
      </c>
      <c r="H133" s="14" t="s">
        <v>230</v>
      </c>
      <c r="I133" s="14">
        <v>2324</v>
      </c>
      <c r="J133" s="12">
        <v>14</v>
      </c>
      <c r="K133" s="12">
        <v>0</v>
      </c>
      <c r="L133" s="15">
        <f>K133*10000+J133*10000</f>
        <v>140000</v>
      </c>
      <c r="M133" s="30">
        <f>(J133+K133)*40</f>
        <v>560</v>
      </c>
      <c r="N133" s="12">
        <f>J133+K133</f>
        <v>14</v>
      </c>
      <c r="O133" s="15">
        <f>K133*9950+21900*J133</f>
        <v>306600</v>
      </c>
      <c r="P133" s="16">
        <v>536</v>
      </c>
      <c r="Q133" s="15">
        <f>900*P133</f>
        <v>482400</v>
      </c>
      <c r="R133" s="43">
        <f>L133+O133+Q133</f>
        <v>929000</v>
      </c>
      <c r="S133" s="12">
        <v>2031</v>
      </c>
    </row>
    <row r="134" spans="1:19" s="17" customFormat="1" x14ac:dyDescent="0.2">
      <c r="A134" s="12" t="s">
        <v>49</v>
      </c>
      <c r="B134" s="12">
        <v>9.11</v>
      </c>
      <c r="C134" s="12">
        <v>10</v>
      </c>
      <c r="D134" s="12">
        <v>6</v>
      </c>
      <c r="E134" s="12">
        <v>60</v>
      </c>
      <c r="F134" s="13">
        <f>E134/C134</f>
        <v>6</v>
      </c>
      <c r="G134" s="14">
        <v>6</v>
      </c>
      <c r="H134" s="14" t="s">
        <v>233</v>
      </c>
      <c r="I134" s="14">
        <v>830</v>
      </c>
      <c r="J134" s="12">
        <v>7</v>
      </c>
      <c r="K134" s="12">
        <v>0</v>
      </c>
      <c r="L134" s="15">
        <f>J134*7000</f>
        <v>49000</v>
      </c>
      <c r="M134" s="33">
        <f>(J134+K134)*25</f>
        <v>175</v>
      </c>
      <c r="N134" s="12">
        <f>J134+K134</f>
        <v>7</v>
      </c>
      <c r="O134" s="15">
        <f>9950*N134</f>
        <v>69650</v>
      </c>
      <c r="P134" s="16">
        <v>163</v>
      </c>
      <c r="Q134" s="15">
        <f>900*P134</f>
        <v>146700</v>
      </c>
      <c r="R134" s="43">
        <f>L134+O134+Q134</f>
        <v>265350</v>
      </c>
      <c r="S134" s="12">
        <v>2031</v>
      </c>
    </row>
    <row r="135" spans="1:19" s="17" customFormat="1" x14ac:dyDescent="0.2">
      <c r="A135" s="35" t="s">
        <v>30</v>
      </c>
      <c r="B135" s="35">
        <v>18</v>
      </c>
      <c r="C135" s="35">
        <v>17</v>
      </c>
      <c r="D135" s="35">
        <v>14</v>
      </c>
      <c r="E135" s="35">
        <v>87</v>
      </c>
      <c r="F135" s="36">
        <f>E135/C135</f>
        <v>5.117647058823529</v>
      </c>
      <c r="G135" s="37">
        <v>10</v>
      </c>
      <c r="H135" s="37" t="s">
        <v>230</v>
      </c>
      <c r="I135" s="37">
        <v>1205</v>
      </c>
      <c r="J135" s="35">
        <v>0</v>
      </c>
      <c r="K135" s="35">
        <v>0</v>
      </c>
      <c r="L135" s="38">
        <f>K135*10000+J135*10000</f>
        <v>0</v>
      </c>
      <c r="M135" s="39">
        <v>1205</v>
      </c>
      <c r="N135" s="35">
        <v>0</v>
      </c>
      <c r="O135" s="38">
        <f>K135*9950+21900*J135</f>
        <v>0</v>
      </c>
      <c r="P135" s="40">
        <v>256</v>
      </c>
      <c r="Q135" s="38">
        <v>0</v>
      </c>
      <c r="R135" s="38">
        <f>L135+O135+Q135</f>
        <v>0</v>
      </c>
      <c r="S135" s="35"/>
    </row>
    <row r="136" spans="1:19" s="17" customFormat="1" x14ac:dyDescent="0.2">
      <c r="A136" s="35" t="s">
        <v>33</v>
      </c>
      <c r="B136" s="35">
        <v>18</v>
      </c>
      <c r="C136" s="35">
        <v>11</v>
      </c>
      <c r="D136" s="35">
        <v>9</v>
      </c>
      <c r="E136" s="35">
        <v>56</v>
      </c>
      <c r="F136" s="36">
        <f>E136/C136</f>
        <v>5.0909090909090908</v>
      </c>
      <c r="G136" s="37">
        <v>10</v>
      </c>
      <c r="H136" s="37" t="s">
        <v>230</v>
      </c>
      <c r="I136" s="37">
        <v>583</v>
      </c>
      <c r="J136" s="35">
        <v>0</v>
      </c>
      <c r="K136" s="35">
        <v>0</v>
      </c>
      <c r="L136" s="38">
        <f>K136*10000+J136*10000</f>
        <v>0</v>
      </c>
      <c r="M136" s="39">
        <v>583</v>
      </c>
      <c r="N136" s="35">
        <v>0</v>
      </c>
      <c r="O136" s="38">
        <f>K136*9950+21900*J136</f>
        <v>0</v>
      </c>
      <c r="P136" s="40">
        <v>151</v>
      </c>
      <c r="Q136" s="38">
        <v>0</v>
      </c>
      <c r="R136" s="38">
        <f>L136+O136+Q136</f>
        <v>0</v>
      </c>
      <c r="S136" s="35"/>
    </row>
    <row r="137" spans="1:19" s="17" customFormat="1" x14ac:dyDescent="0.2">
      <c r="A137" s="35" t="s">
        <v>32</v>
      </c>
      <c r="B137" s="35">
        <v>18</v>
      </c>
      <c r="C137" s="35">
        <v>12</v>
      </c>
      <c r="D137" s="35">
        <v>12</v>
      </c>
      <c r="E137" s="35">
        <v>12</v>
      </c>
      <c r="F137" s="36">
        <f>E137/C137</f>
        <v>1</v>
      </c>
      <c r="G137" s="37">
        <v>10</v>
      </c>
      <c r="H137" s="37" t="s">
        <v>230</v>
      </c>
      <c r="I137" s="37">
        <v>480</v>
      </c>
      <c r="J137" s="35">
        <v>0</v>
      </c>
      <c r="K137" s="35">
        <v>0</v>
      </c>
      <c r="L137" s="38">
        <v>0</v>
      </c>
      <c r="M137" s="39">
        <v>480</v>
      </c>
      <c r="N137" s="35">
        <f>J137+K137</f>
        <v>0</v>
      </c>
      <c r="O137" s="38">
        <f>K137*9950+21900*J137</f>
        <v>0</v>
      </c>
      <c r="P137" s="40">
        <v>360</v>
      </c>
      <c r="Q137" s="38">
        <v>0</v>
      </c>
      <c r="R137" s="38">
        <f>L137+O137+Q137</f>
        <v>0</v>
      </c>
      <c r="S137" s="35"/>
    </row>
    <row r="138" spans="1:19" s="17" customFormat="1" x14ac:dyDescent="0.2">
      <c r="A138" s="35" t="s">
        <v>133</v>
      </c>
      <c r="B138" s="35">
        <v>5</v>
      </c>
      <c r="C138" s="35">
        <v>11</v>
      </c>
      <c r="D138" s="35">
        <v>11</v>
      </c>
      <c r="E138" s="35">
        <v>16</v>
      </c>
      <c r="F138" s="36">
        <f>E138/C138</f>
        <v>1.4545454545454546</v>
      </c>
      <c r="G138" s="37">
        <v>8</v>
      </c>
      <c r="H138" s="37" t="s">
        <v>231</v>
      </c>
      <c r="I138" s="37">
        <v>363</v>
      </c>
      <c r="J138" s="35">
        <v>0</v>
      </c>
      <c r="K138" s="35">
        <v>0</v>
      </c>
      <c r="L138" s="38">
        <v>0</v>
      </c>
      <c r="M138" s="39">
        <v>363</v>
      </c>
      <c r="N138" s="35">
        <f>J138+K138</f>
        <v>0</v>
      </c>
      <c r="O138" s="38">
        <f>K138*9950+21900*J138</f>
        <v>0</v>
      </c>
      <c r="P138" s="40">
        <v>276</v>
      </c>
      <c r="Q138" s="38">
        <v>0</v>
      </c>
      <c r="R138" s="38">
        <f>L138+O138+Q138</f>
        <v>0</v>
      </c>
      <c r="S138" s="35"/>
    </row>
    <row r="139" spans="1:19" s="17" customFormat="1" x14ac:dyDescent="0.2">
      <c r="A139" s="35" t="s">
        <v>35</v>
      </c>
      <c r="B139" s="35">
        <v>5</v>
      </c>
      <c r="C139" s="35">
        <v>20</v>
      </c>
      <c r="D139" s="35">
        <v>20</v>
      </c>
      <c r="E139" s="35">
        <v>238</v>
      </c>
      <c r="F139" s="36">
        <f>E139/C139</f>
        <v>11.9</v>
      </c>
      <c r="G139" s="37">
        <v>8</v>
      </c>
      <c r="H139" s="37" t="s">
        <v>231</v>
      </c>
      <c r="I139" s="37">
        <v>1660</v>
      </c>
      <c r="J139" s="35">
        <v>0</v>
      </c>
      <c r="K139" s="35">
        <v>0</v>
      </c>
      <c r="L139" s="38">
        <f>K139*10000+J139*10000</f>
        <v>0</v>
      </c>
      <c r="M139" s="39">
        <v>1660</v>
      </c>
      <c r="N139" s="35">
        <f>J139+K139</f>
        <v>0</v>
      </c>
      <c r="O139" s="38">
        <f>K139*9950+21900*J139</f>
        <v>0</v>
      </c>
      <c r="P139" s="40">
        <v>758</v>
      </c>
      <c r="Q139" s="38">
        <v>0</v>
      </c>
      <c r="R139" s="38">
        <f>L139+O139+Q139</f>
        <v>0</v>
      </c>
      <c r="S139" s="35"/>
    </row>
    <row r="140" spans="1:19" s="17" customFormat="1" x14ac:dyDescent="0.2">
      <c r="A140" s="35" t="s">
        <v>36</v>
      </c>
      <c r="B140" s="35">
        <v>3</v>
      </c>
      <c r="C140" s="35">
        <v>7</v>
      </c>
      <c r="D140" s="35">
        <v>7</v>
      </c>
      <c r="E140" s="35">
        <v>7</v>
      </c>
      <c r="F140" s="36">
        <f>E140/C140</f>
        <v>1</v>
      </c>
      <c r="G140" s="37">
        <v>8</v>
      </c>
      <c r="H140" s="37" t="s">
        <v>231</v>
      </c>
      <c r="I140" s="37">
        <v>294</v>
      </c>
      <c r="J140" s="35">
        <v>0</v>
      </c>
      <c r="K140" s="35">
        <v>0</v>
      </c>
      <c r="L140" s="38">
        <f>K140*10000+J140*10000</f>
        <v>0</v>
      </c>
      <c r="M140" s="39">
        <v>294</v>
      </c>
      <c r="N140" s="35">
        <v>0</v>
      </c>
      <c r="O140" s="38">
        <f>K140*9950+21900*J140</f>
        <v>0</v>
      </c>
      <c r="P140" s="40">
        <v>259</v>
      </c>
      <c r="Q140" s="38">
        <v>0</v>
      </c>
      <c r="R140" s="38">
        <f>L140+O140+Q140</f>
        <v>0</v>
      </c>
      <c r="S140" s="35"/>
    </row>
    <row r="141" spans="1:19" s="17" customFormat="1" x14ac:dyDescent="0.2">
      <c r="A141" s="35" t="s">
        <v>4</v>
      </c>
      <c r="B141" s="35">
        <v>26</v>
      </c>
      <c r="C141" s="35">
        <v>22</v>
      </c>
      <c r="D141" s="35">
        <v>22</v>
      </c>
      <c r="E141" s="35">
        <v>150</v>
      </c>
      <c r="F141" s="36">
        <f>E141/C141</f>
        <v>6.8181818181818183</v>
      </c>
      <c r="G141" s="37" t="s">
        <v>218</v>
      </c>
      <c r="H141" s="37" t="s">
        <v>234</v>
      </c>
      <c r="I141" s="37">
        <v>1730</v>
      </c>
      <c r="J141" s="35">
        <v>0</v>
      </c>
      <c r="K141" s="35">
        <v>0</v>
      </c>
      <c r="L141" s="38">
        <f>K141*10000+J141*10000</f>
        <v>0</v>
      </c>
      <c r="M141" s="39">
        <v>1730</v>
      </c>
      <c r="N141" s="35">
        <f>J141+K141</f>
        <v>0</v>
      </c>
      <c r="O141" s="38">
        <f>K141*9950+21900*J141</f>
        <v>0</v>
      </c>
      <c r="P141" s="40">
        <v>1595</v>
      </c>
      <c r="Q141" s="38">
        <v>0</v>
      </c>
      <c r="R141" s="38">
        <f>L141+O141+Q141</f>
        <v>0</v>
      </c>
      <c r="S141" s="35"/>
    </row>
    <row r="142" spans="1:19" s="17" customFormat="1" x14ac:dyDescent="0.2">
      <c r="A142" s="35" t="s">
        <v>82</v>
      </c>
      <c r="B142" s="35">
        <v>4</v>
      </c>
      <c r="C142" s="35">
        <v>7</v>
      </c>
      <c r="D142" s="35">
        <v>7</v>
      </c>
      <c r="E142" s="35">
        <v>47</v>
      </c>
      <c r="F142" s="36">
        <f>E142/C142</f>
        <v>6.7142857142857144</v>
      </c>
      <c r="G142" s="37">
        <v>8</v>
      </c>
      <c r="H142" s="37" t="s">
        <v>231</v>
      </c>
      <c r="I142" s="37">
        <v>416</v>
      </c>
      <c r="J142" s="35">
        <v>0</v>
      </c>
      <c r="K142" s="35">
        <v>0</v>
      </c>
      <c r="L142" s="38">
        <f>K142*10000+J142*10000</f>
        <v>0</v>
      </c>
      <c r="M142" s="39">
        <v>416</v>
      </c>
      <c r="N142" s="35">
        <f>J142+K142</f>
        <v>0</v>
      </c>
      <c r="O142" s="38">
        <f>K142*9950+21900*J142</f>
        <v>0</v>
      </c>
      <c r="P142" s="40">
        <v>383</v>
      </c>
      <c r="Q142" s="38">
        <v>0</v>
      </c>
      <c r="R142" s="38">
        <f>L142+O142+Q142</f>
        <v>0</v>
      </c>
      <c r="S142" s="35"/>
    </row>
    <row r="143" spans="1:19" s="17" customFormat="1" x14ac:dyDescent="0.2">
      <c r="A143" s="35" t="s">
        <v>85</v>
      </c>
      <c r="B143" s="35">
        <v>3</v>
      </c>
      <c r="C143" s="35">
        <v>6</v>
      </c>
      <c r="D143" s="35">
        <v>6</v>
      </c>
      <c r="E143" s="35">
        <v>6</v>
      </c>
      <c r="F143" s="36">
        <f>E143/C143</f>
        <v>1</v>
      </c>
      <c r="G143" s="37">
        <v>8</v>
      </c>
      <c r="H143" s="37" t="s">
        <v>231</v>
      </c>
      <c r="I143" s="37">
        <v>252</v>
      </c>
      <c r="J143" s="35">
        <v>0</v>
      </c>
      <c r="K143" s="35">
        <v>0</v>
      </c>
      <c r="L143" s="38">
        <f>K143*10000+J143*10000</f>
        <v>0</v>
      </c>
      <c r="M143" s="39">
        <v>252</v>
      </c>
      <c r="N143" s="35">
        <v>0</v>
      </c>
      <c r="O143" s="38">
        <f>K143*9950+21900*J143</f>
        <v>0</v>
      </c>
      <c r="P143" s="40">
        <v>202</v>
      </c>
      <c r="Q143" s="38">
        <v>0</v>
      </c>
      <c r="R143" s="38">
        <f>L143+O143+Q143</f>
        <v>0</v>
      </c>
      <c r="S143" s="35"/>
    </row>
    <row r="144" spans="1:19" s="17" customFormat="1" x14ac:dyDescent="0.2">
      <c r="A144" s="69" t="s">
        <v>84</v>
      </c>
      <c r="B144" s="35">
        <v>3</v>
      </c>
      <c r="C144" s="35">
        <v>6</v>
      </c>
      <c r="D144" s="35">
        <v>6</v>
      </c>
      <c r="E144" s="35">
        <v>54</v>
      </c>
      <c r="F144" s="36">
        <f>E144/C144</f>
        <v>9</v>
      </c>
      <c r="G144" s="37">
        <v>8</v>
      </c>
      <c r="H144" s="37" t="s">
        <v>231</v>
      </c>
      <c r="I144" s="37">
        <v>498</v>
      </c>
      <c r="J144" s="35">
        <v>0</v>
      </c>
      <c r="K144" s="35">
        <v>0</v>
      </c>
      <c r="L144" s="38">
        <f>K144*10000+J144*10000</f>
        <v>0</v>
      </c>
      <c r="M144" s="39">
        <v>498</v>
      </c>
      <c r="N144" s="35">
        <f>J144+K144</f>
        <v>0</v>
      </c>
      <c r="O144" s="38">
        <f>K144*9950+21900*J144</f>
        <v>0</v>
      </c>
      <c r="P144" s="40">
        <v>236</v>
      </c>
      <c r="Q144" s="38">
        <v>0</v>
      </c>
      <c r="R144" s="38">
        <f>L144+O144+Q144</f>
        <v>0</v>
      </c>
      <c r="S144" s="35"/>
    </row>
  </sheetData>
  <autoFilter ref="A1:S144">
    <sortState ref="A2:S144">
      <sortCondition ref="S1:S144"/>
    </sortState>
  </autoFilter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B2" sqref="B2:B36"/>
    </sheetView>
  </sheetViews>
  <sheetFormatPr defaultRowHeight="12.75" x14ac:dyDescent="0.2"/>
  <cols>
    <col min="1" max="1" width="11.7109375" customWidth="1"/>
    <col min="2" max="2" width="25.140625" bestFit="1" customWidth="1"/>
    <col min="3" max="3" width="18.85546875" style="5" bestFit="1" customWidth="1"/>
  </cols>
  <sheetData>
    <row r="1" spans="1:3" ht="15" x14ac:dyDescent="0.25">
      <c r="A1" s="4" t="s">
        <v>151</v>
      </c>
      <c r="B1" s="4" t="s">
        <v>240</v>
      </c>
      <c r="C1" s="4" t="s">
        <v>241</v>
      </c>
    </row>
    <row r="2" spans="1:3" x14ac:dyDescent="0.2">
      <c r="A2" s="19" t="s">
        <v>152</v>
      </c>
      <c r="B2" s="20">
        <v>150000</v>
      </c>
      <c r="C2" s="21">
        <v>2023</v>
      </c>
    </row>
    <row r="3" spans="1:3" x14ac:dyDescent="0.2">
      <c r="A3" s="19" t="s">
        <v>153</v>
      </c>
      <c r="B3" s="20">
        <v>150000</v>
      </c>
      <c r="C3" s="21">
        <v>2027</v>
      </c>
    </row>
    <row r="4" spans="1:3" x14ac:dyDescent="0.2">
      <c r="A4" s="19" t="s">
        <v>154</v>
      </c>
      <c r="B4" s="20">
        <v>150000</v>
      </c>
      <c r="C4" s="21">
        <v>2023</v>
      </c>
    </row>
    <row r="5" spans="1:3" x14ac:dyDescent="0.2">
      <c r="A5" s="19" t="s">
        <v>155</v>
      </c>
      <c r="B5" s="20">
        <v>150000</v>
      </c>
      <c r="C5" s="21">
        <v>2023</v>
      </c>
    </row>
    <row r="6" spans="1:3" x14ac:dyDescent="0.2">
      <c r="A6" s="19" t="s">
        <v>156</v>
      </c>
      <c r="B6" s="20">
        <v>150000</v>
      </c>
      <c r="C6" s="21">
        <v>2023</v>
      </c>
    </row>
    <row r="7" spans="1:3" x14ac:dyDescent="0.2">
      <c r="A7" s="19" t="s">
        <v>157</v>
      </c>
      <c r="B7" s="20">
        <v>150000</v>
      </c>
      <c r="C7" s="21">
        <v>2027</v>
      </c>
    </row>
    <row r="8" spans="1:3" x14ac:dyDescent="0.2">
      <c r="A8" s="19" t="s">
        <v>158</v>
      </c>
      <c r="B8" s="20">
        <v>150000</v>
      </c>
      <c r="C8" s="21">
        <v>2027</v>
      </c>
    </row>
    <row r="9" spans="1:3" x14ac:dyDescent="0.2">
      <c r="A9" s="19" t="s">
        <v>159</v>
      </c>
      <c r="B9" s="20">
        <v>150000</v>
      </c>
      <c r="C9" s="21">
        <v>2028</v>
      </c>
    </row>
    <row r="10" spans="1:3" x14ac:dyDescent="0.2">
      <c r="A10" s="19" t="s">
        <v>160</v>
      </c>
      <c r="B10" s="20">
        <v>150000</v>
      </c>
      <c r="C10" s="21">
        <v>2031</v>
      </c>
    </row>
    <row r="11" spans="1:3" x14ac:dyDescent="0.2">
      <c r="A11" s="19" t="s">
        <v>161</v>
      </c>
      <c r="B11" s="20">
        <v>150000</v>
      </c>
      <c r="C11" s="21">
        <v>2031</v>
      </c>
    </row>
    <row r="12" spans="1:3" x14ac:dyDescent="0.2">
      <c r="A12" s="19" t="s">
        <v>162</v>
      </c>
      <c r="B12" s="20">
        <v>150000</v>
      </c>
      <c r="C12" s="21">
        <v>2031</v>
      </c>
    </row>
    <row r="13" spans="1:3" x14ac:dyDescent="0.2">
      <c r="A13" s="19" t="s">
        <v>163</v>
      </c>
      <c r="B13" s="20">
        <v>150000</v>
      </c>
      <c r="C13" s="21">
        <v>2028</v>
      </c>
    </row>
    <row r="14" spans="1:3" x14ac:dyDescent="0.2">
      <c r="A14" s="19" t="s">
        <v>164</v>
      </c>
      <c r="B14" s="20">
        <v>150000</v>
      </c>
      <c r="C14" s="21">
        <v>2022</v>
      </c>
    </row>
    <row r="15" spans="1:3" x14ac:dyDescent="0.2">
      <c r="A15" s="19" t="s">
        <v>165</v>
      </c>
      <c r="B15" s="20">
        <v>150000</v>
      </c>
      <c r="C15" s="21">
        <v>2029</v>
      </c>
    </row>
    <row r="16" spans="1:3" x14ac:dyDescent="0.2">
      <c r="A16" s="19" t="s">
        <v>166</v>
      </c>
      <c r="B16" s="20">
        <v>150000</v>
      </c>
      <c r="C16" s="21">
        <v>2022</v>
      </c>
    </row>
    <row r="17" spans="1:3" x14ac:dyDescent="0.2">
      <c r="A17" s="19" t="s">
        <v>167</v>
      </c>
      <c r="B17" s="20">
        <v>150000</v>
      </c>
      <c r="C17" s="21">
        <v>2022</v>
      </c>
    </row>
    <row r="18" spans="1:3" x14ac:dyDescent="0.2">
      <c r="A18" s="19" t="s">
        <v>168</v>
      </c>
      <c r="B18" s="20">
        <v>150000</v>
      </c>
      <c r="C18" s="21">
        <v>2024</v>
      </c>
    </row>
    <row r="19" spans="1:3" x14ac:dyDescent="0.2">
      <c r="A19" s="19" t="s">
        <v>169</v>
      </c>
      <c r="B19" s="20">
        <v>150000</v>
      </c>
      <c r="C19" s="21">
        <v>2022</v>
      </c>
    </row>
    <row r="20" spans="1:3" x14ac:dyDescent="0.2">
      <c r="A20" s="19" t="s">
        <v>170</v>
      </c>
      <c r="B20" s="20">
        <v>150000</v>
      </c>
      <c r="C20" s="21">
        <v>2031</v>
      </c>
    </row>
    <row r="21" spans="1:3" x14ac:dyDescent="0.2">
      <c r="A21" s="19" t="s">
        <v>171</v>
      </c>
      <c r="B21" s="20">
        <v>150000</v>
      </c>
      <c r="C21" s="21">
        <v>2030</v>
      </c>
    </row>
    <row r="22" spans="1:3" x14ac:dyDescent="0.2">
      <c r="A22" s="19" t="s">
        <v>172</v>
      </c>
      <c r="B22" s="20">
        <v>150000</v>
      </c>
      <c r="C22" s="21">
        <v>2030</v>
      </c>
    </row>
    <row r="23" spans="1:3" x14ac:dyDescent="0.2">
      <c r="A23" s="19" t="s">
        <v>173</v>
      </c>
      <c r="B23" s="20">
        <v>150000</v>
      </c>
      <c r="C23" s="21">
        <v>2029</v>
      </c>
    </row>
    <row r="24" spans="1:3" x14ac:dyDescent="0.2">
      <c r="A24" s="19" t="s">
        <v>174</v>
      </c>
      <c r="B24" s="20">
        <v>150000</v>
      </c>
      <c r="C24" s="21">
        <v>2025</v>
      </c>
    </row>
    <row r="25" spans="1:3" x14ac:dyDescent="0.2">
      <c r="A25" s="19" t="s">
        <v>175</v>
      </c>
      <c r="B25" s="20">
        <v>150000</v>
      </c>
      <c r="C25" s="21">
        <v>2025</v>
      </c>
    </row>
    <row r="26" spans="1:3" x14ac:dyDescent="0.2">
      <c r="A26" s="19" t="s">
        <v>176</v>
      </c>
      <c r="B26" s="20">
        <v>150000</v>
      </c>
      <c r="C26" s="29">
        <v>2024</v>
      </c>
    </row>
    <row r="27" spans="1:3" x14ac:dyDescent="0.2">
      <c r="A27" s="19" t="s">
        <v>177</v>
      </c>
      <c r="B27" s="20">
        <v>150000</v>
      </c>
      <c r="C27" s="21">
        <v>2026</v>
      </c>
    </row>
    <row r="28" spans="1:3" x14ac:dyDescent="0.2">
      <c r="A28" s="19" t="s">
        <v>178</v>
      </c>
      <c r="B28" s="20">
        <v>150000</v>
      </c>
      <c r="C28" s="21">
        <v>2022</v>
      </c>
    </row>
    <row r="29" spans="1:3" x14ac:dyDescent="0.2">
      <c r="A29" s="19" t="s">
        <v>179</v>
      </c>
      <c r="B29" s="20">
        <v>150000</v>
      </c>
      <c r="C29" s="21">
        <v>2028</v>
      </c>
    </row>
    <row r="30" spans="1:3" x14ac:dyDescent="0.2">
      <c r="A30" s="19" t="s">
        <v>180</v>
      </c>
      <c r="B30" s="20">
        <v>150000</v>
      </c>
      <c r="C30" s="21">
        <v>2028</v>
      </c>
    </row>
    <row r="31" spans="1:3" x14ac:dyDescent="0.2">
      <c r="A31" s="19" t="s">
        <v>181</v>
      </c>
      <c r="B31" s="20">
        <v>150000</v>
      </c>
      <c r="C31" s="21">
        <v>2026</v>
      </c>
    </row>
    <row r="32" spans="1:3" x14ac:dyDescent="0.2">
      <c r="A32" s="19" t="s">
        <v>182</v>
      </c>
      <c r="B32" s="20">
        <v>150000</v>
      </c>
      <c r="C32" s="21">
        <v>2026</v>
      </c>
    </row>
    <row r="33" spans="1:3" x14ac:dyDescent="0.2">
      <c r="A33" s="19" t="s">
        <v>183</v>
      </c>
      <c r="B33" s="20">
        <v>150000</v>
      </c>
      <c r="C33" s="21">
        <v>2024</v>
      </c>
    </row>
    <row r="34" spans="1:3" x14ac:dyDescent="0.2">
      <c r="A34" s="19" t="s">
        <v>184</v>
      </c>
      <c r="B34" s="20">
        <v>150000</v>
      </c>
      <c r="C34" s="21">
        <v>2024</v>
      </c>
    </row>
    <row r="35" spans="1:3" x14ac:dyDescent="0.2">
      <c r="A35" s="19" t="s">
        <v>185</v>
      </c>
      <c r="B35" s="20">
        <v>150000</v>
      </c>
      <c r="C35" s="21">
        <v>2026</v>
      </c>
    </row>
    <row r="36" spans="1:3" x14ac:dyDescent="0.2">
      <c r="A36" s="19" t="s">
        <v>186</v>
      </c>
      <c r="B36" s="20">
        <v>150000</v>
      </c>
      <c r="C36" s="21">
        <v>2030</v>
      </c>
    </row>
    <row r="37" spans="1:3" x14ac:dyDescent="0.2">
      <c r="A37" s="3"/>
    </row>
    <row r="38" spans="1:3" x14ac:dyDescent="0.2">
      <c r="A38" s="3"/>
    </row>
  </sheetData>
  <autoFilter ref="A1:C1"/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3"/>
  <sheetViews>
    <sheetView zoomScaleNormal="100" workbookViewId="0">
      <selection activeCell="B5" sqref="B5"/>
    </sheetView>
  </sheetViews>
  <sheetFormatPr defaultRowHeight="12.75" x14ac:dyDescent="0.2"/>
  <cols>
    <col min="2" max="2" width="28.7109375" bestFit="1" customWidth="1"/>
    <col min="3" max="3" width="13.42578125" bestFit="1" customWidth="1"/>
    <col min="5" max="5" width="14.28515625" customWidth="1"/>
  </cols>
  <sheetData>
    <row r="1" spans="2:5" ht="13.5" thickBot="1" x14ac:dyDescent="0.25"/>
    <row r="2" spans="2:5" ht="15.75" thickBot="1" x14ac:dyDescent="0.3">
      <c r="B2" s="51" t="s">
        <v>194</v>
      </c>
      <c r="C2" s="52"/>
      <c r="D2" s="52"/>
      <c r="E2" s="53"/>
    </row>
    <row r="3" spans="2:5" ht="30.75" thickBot="1" x14ac:dyDescent="0.25">
      <c r="B3" s="25" t="s">
        <v>143</v>
      </c>
      <c r="C3" s="26" t="s">
        <v>242</v>
      </c>
      <c r="D3" s="25" t="s">
        <v>151</v>
      </c>
      <c r="E3" s="26" t="s">
        <v>242</v>
      </c>
    </row>
    <row r="4" spans="2:5" x14ac:dyDescent="0.2">
      <c r="B4" s="7" t="s">
        <v>34</v>
      </c>
      <c r="C4" s="8">
        <v>598000</v>
      </c>
      <c r="D4" s="11" t="s">
        <v>164</v>
      </c>
      <c r="E4" s="8">
        <v>150000</v>
      </c>
    </row>
    <row r="5" spans="2:5" x14ac:dyDescent="0.2">
      <c r="B5" s="10" t="s">
        <v>9</v>
      </c>
      <c r="C5" s="8">
        <v>752200</v>
      </c>
      <c r="D5" s="11" t="s">
        <v>166</v>
      </c>
      <c r="E5" s="8">
        <v>150000</v>
      </c>
    </row>
    <row r="6" spans="2:5" x14ac:dyDescent="0.2">
      <c r="B6" s="10" t="s">
        <v>95</v>
      </c>
      <c r="C6" s="8">
        <v>1256800</v>
      </c>
      <c r="D6" s="11" t="s">
        <v>167</v>
      </c>
      <c r="E6" s="8">
        <v>150000</v>
      </c>
    </row>
    <row r="7" spans="2:5" x14ac:dyDescent="0.2">
      <c r="B7" s="7" t="s">
        <v>97</v>
      </c>
      <c r="C7" s="8">
        <v>355350</v>
      </c>
      <c r="D7" s="11" t="s">
        <v>169</v>
      </c>
      <c r="E7" s="8">
        <v>150000</v>
      </c>
    </row>
    <row r="8" spans="2:5" x14ac:dyDescent="0.2">
      <c r="B8" s="10" t="s">
        <v>105</v>
      </c>
      <c r="C8" s="8">
        <v>146100</v>
      </c>
      <c r="D8" s="11" t="s">
        <v>178</v>
      </c>
      <c r="E8" s="8">
        <v>150000</v>
      </c>
    </row>
    <row r="9" spans="2:5" x14ac:dyDescent="0.2">
      <c r="B9" s="10" t="s">
        <v>139</v>
      </c>
      <c r="C9" s="8">
        <v>950500</v>
      </c>
      <c r="D9" s="65"/>
      <c r="E9" s="66"/>
    </row>
    <row r="10" spans="2:5" x14ac:dyDescent="0.2">
      <c r="B10" s="10" t="s">
        <v>110</v>
      </c>
      <c r="C10" s="8">
        <v>347100</v>
      </c>
      <c r="D10" s="65"/>
      <c r="E10" s="66"/>
    </row>
    <row r="11" spans="2:5" x14ac:dyDescent="0.2">
      <c r="B11" s="10" t="s">
        <v>108</v>
      </c>
      <c r="C11" s="8">
        <v>470300</v>
      </c>
      <c r="D11" s="65"/>
      <c r="E11" s="66"/>
    </row>
    <row r="12" spans="2:5" x14ac:dyDescent="0.2">
      <c r="B12" s="7" t="s">
        <v>29</v>
      </c>
      <c r="C12" s="8">
        <v>1353150</v>
      </c>
      <c r="D12" s="65"/>
      <c r="E12" s="66"/>
    </row>
    <row r="13" spans="2:5" x14ac:dyDescent="0.2">
      <c r="B13" s="7" t="s">
        <v>115</v>
      </c>
      <c r="C13" s="8">
        <v>485100</v>
      </c>
      <c r="D13" s="65"/>
      <c r="E13" s="66"/>
    </row>
    <row r="14" spans="2:5" x14ac:dyDescent="0.2">
      <c r="B14" s="7" t="s">
        <v>31</v>
      </c>
      <c r="C14" s="8">
        <v>561600</v>
      </c>
      <c r="D14" s="65"/>
      <c r="E14" s="66"/>
    </row>
    <row r="15" spans="2:5" x14ac:dyDescent="0.2">
      <c r="B15" s="10" t="s">
        <v>18</v>
      </c>
      <c r="C15" s="8">
        <v>1937100</v>
      </c>
      <c r="D15" s="65"/>
      <c r="E15" s="66"/>
    </row>
    <row r="16" spans="2:5" x14ac:dyDescent="0.2">
      <c r="B16" s="10" t="s">
        <v>134</v>
      </c>
      <c r="C16" s="8">
        <v>419700</v>
      </c>
      <c r="D16" s="65"/>
      <c r="E16" s="66"/>
    </row>
    <row r="17" spans="2:5" x14ac:dyDescent="0.2">
      <c r="B17" s="10" t="s">
        <v>118</v>
      </c>
      <c r="C17" s="8">
        <v>95400</v>
      </c>
      <c r="D17" s="65"/>
      <c r="E17" s="66"/>
    </row>
    <row r="18" spans="2:5" x14ac:dyDescent="0.2">
      <c r="B18" s="10" t="s">
        <v>112</v>
      </c>
      <c r="C18" s="8">
        <v>307100</v>
      </c>
      <c r="D18" s="65"/>
      <c r="E18" s="66"/>
    </row>
    <row r="19" spans="2:5" ht="13.5" thickBot="1" x14ac:dyDescent="0.25">
      <c r="B19" s="10" t="s">
        <v>96</v>
      </c>
      <c r="C19" s="8">
        <v>424900</v>
      </c>
      <c r="D19" s="67"/>
      <c r="E19" s="68"/>
    </row>
    <row r="20" spans="2:5" ht="15.75" thickBot="1" x14ac:dyDescent="0.3">
      <c r="B20" s="6" t="s">
        <v>193</v>
      </c>
      <c r="C20" s="60">
        <f>SUM(C4:C19,E4:E19)</f>
        <v>11210400</v>
      </c>
      <c r="D20" s="61"/>
      <c r="E20" s="62"/>
    </row>
    <row r="21" spans="2:5" ht="13.5" thickBot="1" x14ac:dyDescent="0.25"/>
    <row r="22" spans="2:5" ht="15.75" thickBot="1" x14ac:dyDescent="0.3">
      <c r="B22" s="51" t="s">
        <v>195</v>
      </c>
      <c r="C22" s="52"/>
      <c r="D22" s="52"/>
      <c r="E22" s="53"/>
    </row>
    <row r="23" spans="2:5" ht="30.75" thickBot="1" x14ac:dyDescent="0.25">
      <c r="B23" s="25" t="s">
        <v>143</v>
      </c>
      <c r="C23" s="26" t="s">
        <v>242</v>
      </c>
      <c r="D23" s="25" t="s">
        <v>151</v>
      </c>
      <c r="E23" s="26" t="s">
        <v>242</v>
      </c>
    </row>
    <row r="24" spans="2:5" x14ac:dyDescent="0.2">
      <c r="B24" s="7" t="s">
        <v>81</v>
      </c>
      <c r="C24" s="8">
        <v>244800</v>
      </c>
      <c r="D24" s="11" t="s">
        <v>152</v>
      </c>
      <c r="E24" s="8">
        <v>150000</v>
      </c>
    </row>
    <row r="25" spans="2:5" x14ac:dyDescent="0.2">
      <c r="B25" s="10" t="s">
        <v>86</v>
      </c>
      <c r="C25" s="8">
        <v>558000</v>
      </c>
      <c r="D25" s="11" t="s">
        <v>154</v>
      </c>
      <c r="E25" s="8">
        <v>150000</v>
      </c>
    </row>
    <row r="26" spans="2:5" x14ac:dyDescent="0.2">
      <c r="B26" s="10" t="s">
        <v>51</v>
      </c>
      <c r="C26" s="8">
        <v>322800</v>
      </c>
      <c r="D26" s="11" t="s">
        <v>155</v>
      </c>
      <c r="E26" s="8">
        <v>150000</v>
      </c>
    </row>
    <row r="27" spans="2:5" x14ac:dyDescent="0.2">
      <c r="B27" s="7" t="s">
        <v>28</v>
      </c>
      <c r="C27" s="8">
        <v>1990200</v>
      </c>
      <c r="D27" s="11" t="s">
        <v>156</v>
      </c>
      <c r="E27" s="8">
        <v>150000</v>
      </c>
    </row>
    <row r="28" spans="2:5" x14ac:dyDescent="0.2">
      <c r="B28" s="10" t="s">
        <v>17</v>
      </c>
      <c r="C28" s="8">
        <v>234700</v>
      </c>
      <c r="D28" s="65"/>
      <c r="E28" s="66"/>
    </row>
    <row r="29" spans="2:5" x14ac:dyDescent="0.2">
      <c r="B29" s="7" t="s">
        <v>26</v>
      </c>
      <c r="C29" s="8">
        <v>554400</v>
      </c>
      <c r="D29" s="65"/>
      <c r="E29" s="66"/>
    </row>
    <row r="30" spans="2:5" x14ac:dyDescent="0.2">
      <c r="B30" s="7" t="s">
        <v>116</v>
      </c>
      <c r="C30" s="8">
        <v>456800</v>
      </c>
      <c r="D30" s="65"/>
      <c r="E30" s="66"/>
    </row>
    <row r="31" spans="2:5" x14ac:dyDescent="0.2">
      <c r="B31" s="7" t="s">
        <v>73</v>
      </c>
      <c r="C31" s="8">
        <v>1204200</v>
      </c>
      <c r="D31" s="65"/>
      <c r="E31" s="66"/>
    </row>
    <row r="32" spans="2:5" x14ac:dyDescent="0.2">
      <c r="B32" s="7" t="s">
        <v>76</v>
      </c>
      <c r="C32" s="8">
        <v>215800</v>
      </c>
      <c r="D32" s="65"/>
      <c r="E32" s="66"/>
    </row>
    <row r="33" spans="2:5" x14ac:dyDescent="0.2">
      <c r="B33" s="7" t="s">
        <v>41</v>
      </c>
      <c r="C33" s="8">
        <v>982500</v>
      </c>
      <c r="D33" s="65"/>
      <c r="E33" s="66"/>
    </row>
    <row r="34" spans="2:5" x14ac:dyDescent="0.2">
      <c r="B34" s="7" t="s">
        <v>38</v>
      </c>
      <c r="C34" s="8">
        <v>481100</v>
      </c>
      <c r="D34" s="65"/>
      <c r="E34" s="66"/>
    </row>
    <row r="35" spans="2:5" x14ac:dyDescent="0.2">
      <c r="B35" s="7" t="s">
        <v>90</v>
      </c>
      <c r="C35" s="8">
        <v>536000</v>
      </c>
      <c r="D35" s="65"/>
      <c r="E35" s="66"/>
    </row>
    <row r="36" spans="2:5" x14ac:dyDescent="0.2">
      <c r="B36" s="7" t="s">
        <v>138</v>
      </c>
      <c r="C36" s="8">
        <v>612800</v>
      </c>
      <c r="D36" s="65"/>
      <c r="E36" s="66"/>
    </row>
    <row r="37" spans="2:5" x14ac:dyDescent="0.2">
      <c r="B37" s="7" t="s">
        <v>39</v>
      </c>
      <c r="C37" s="8">
        <v>484700</v>
      </c>
      <c r="D37" s="65"/>
      <c r="E37" s="66"/>
    </row>
    <row r="38" spans="2:5" x14ac:dyDescent="0.2">
      <c r="B38" s="7" t="s">
        <v>135</v>
      </c>
      <c r="C38" s="8">
        <v>162300</v>
      </c>
      <c r="D38" s="65"/>
      <c r="E38" s="66"/>
    </row>
    <row r="39" spans="2:5" x14ac:dyDescent="0.2">
      <c r="B39" s="7" t="s">
        <v>79</v>
      </c>
      <c r="C39" s="8">
        <v>278300</v>
      </c>
      <c r="D39" s="65"/>
      <c r="E39" s="66"/>
    </row>
    <row r="40" spans="2:5" x14ac:dyDescent="0.2">
      <c r="B40" s="7" t="s">
        <v>37</v>
      </c>
      <c r="C40" s="8">
        <v>777900</v>
      </c>
      <c r="D40" s="65"/>
      <c r="E40" s="66"/>
    </row>
    <row r="41" spans="2:5" ht="13.5" thickBot="1" x14ac:dyDescent="0.25">
      <c r="B41" s="7" t="s">
        <v>15</v>
      </c>
      <c r="C41" s="8">
        <v>510300</v>
      </c>
      <c r="D41" s="65"/>
      <c r="E41" s="66"/>
    </row>
    <row r="42" spans="2:5" ht="15.75" thickBot="1" x14ac:dyDescent="0.3">
      <c r="B42" s="6" t="s">
        <v>193</v>
      </c>
      <c r="C42" s="60">
        <f>SUM(C24:C41,E24:E41)</f>
        <v>11207600</v>
      </c>
      <c r="D42" s="61"/>
      <c r="E42" s="62"/>
    </row>
    <row r="43" spans="2:5" ht="13.5" thickBot="1" x14ac:dyDescent="0.25"/>
    <row r="44" spans="2:5" ht="15.75" thickBot="1" x14ac:dyDescent="0.3">
      <c r="B44" s="51" t="s">
        <v>196</v>
      </c>
      <c r="C44" s="52"/>
      <c r="D44" s="52"/>
      <c r="E44" s="53"/>
    </row>
    <row r="45" spans="2:5" ht="30.75" thickBot="1" x14ac:dyDescent="0.25">
      <c r="B45" s="25" t="s">
        <v>143</v>
      </c>
      <c r="C45" s="26" t="s">
        <v>242</v>
      </c>
      <c r="D45" s="25" t="s">
        <v>151</v>
      </c>
      <c r="E45" s="26" t="s">
        <v>242</v>
      </c>
    </row>
    <row r="46" spans="2:5" x14ac:dyDescent="0.2">
      <c r="B46" s="7" t="s">
        <v>80</v>
      </c>
      <c r="C46" s="8">
        <v>989600</v>
      </c>
      <c r="D46" s="11" t="s">
        <v>168</v>
      </c>
      <c r="E46" s="8">
        <v>150000</v>
      </c>
    </row>
    <row r="47" spans="2:5" x14ac:dyDescent="0.2">
      <c r="B47" s="10" t="s">
        <v>2</v>
      </c>
      <c r="C47" s="8">
        <v>2471200</v>
      </c>
      <c r="D47" s="11" t="s">
        <v>176</v>
      </c>
      <c r="E47" s="8">
        <v>150000</v>
      </c>
    </row>
    <row r="48" spans="2:5" x14ac:dyDescent="0.2">
      <c r="B48" s="10" t="s">
        <v>8</v>
      </c>
      <c r="C48" s="8">
        <v>2120600</v>
      </c>
      <c r="D48" s="11" t="s">
        <v>183</v>
      </c>
      <c r="E48" s="8">
        <v>150000</v>
      </c>
    </row>
    <row r="49" spans="2:5" x14ac:dyDescent="0.2">
      <c r="B49" s="7" t="s">
        <v>127</v>
      </c>
      <c r="C49" s="8">
        <v>433900</v>
      </c>
      <c r="D49" s="11" t="s">
        <v>184</v>
      </c>
      <c r="E49" s="8">
        <v>150000</v>
      </c>
    </row>
    <row r="50" spans="2:5" x14ac:dyDescent="0.2">
      <c r="B50" s="7" t="s">
        <v>126</v>
      </c>
      <c r="C50" s="8">
        <v>644300</v>
      </c>
      <c r="D50" s="54"/>
      <c r="E50" s="55"/>
    </row>
    <row r="51" spans="2:5" ht="13.5" thickBot="1" x14ac:dyDescent="0.25">
      <c r="B51" s="7" t="s">
        <v>88</v>
      </c>
      <c r="C51" s="8">
        <v>3977900</v>
      </c>
      <c r="D51" s="58"/>
      <c r="E51" s="59"/>
    </row>
    <row r="52" spans="2:5" ht="15.75" thickBot="1" x14ac:dyDescent="0.3">
      <c r="B52" s="6" t="s">
        <v>193</v>
      </c>
      <c r="C52" s="60">
        <f>SUM(C46:C51,E46:E51)</f>
        <v>11237500</v>
      </c>
      <c r="D52" s="61"/>
      <c r="E52" s="62"/>
    </row>
    <row r="53" spans="2:5" ht="13.5" thickBot="1" x14ac:dyDescent="0.25"/>
    <row r="54" spans="2:5" ht="15.75" thickBot="1" x14ac:dyDescent="0.3">
      <c r="B54" s="51" t="s">
        <v>197</v>
      </c>
      <c r="C54" s="52"/>
      <c r="D54" s="52"/>
      <c r="E54" s="53"/>
    </row>
    <row r="55" spans="2:5" ht="30.75" thickBot="1" x14ac:dyDescent="0.25">
      <c r="B55" s="25" t="s">
        <v>143</v>
      </c>
      <c r="C55" s="26" t="s">
        <v>242</v>
      </c>
      <c r="D55" s="25" t="s">
        <v>151</v>
      </c>
      <c r="E55" s="26" t="s">
        <v>242</v>
      </c>
    </row>
    <row r="56" spans="2:5" x14ac:dyDescent="0.2">
      <c r="B56" s="7" t="s">
        <v>14</v>
      </c>
      <c r="C56" s="8">
        <v>656500</v>
      </c>
      <c r="D56" s="11" t="s">
        <v>174</v>
      </c>
      <c r="E56" s="8">
        <v>150000</v>
      </c>
    </row>
    <row r="57" spans="2:5" x14ac:dyDescent="0.2">
      <c r="B57" s="10" t="s">
        <v>12</v>
      </c>
      <c r="C57" s="8">
        <v>455650</v>
      </c>
      <c r="D57" s="11" t="s">
        <v>175</v>
      </c>
      <c r="E57" s="8">
        <v>150000</v>
      </c>
    </row>
    <row r="58" spans="2:5" x14ac:dyDescent="0.2">
      <c r="B58" s="7" t="s">
        <v>5</v>
      </c>
      <c r="C58" s="8">
        <v>5023300</v>
      </c>
      <c r="D58" s="63"/>
      <c r="E58" s="64"/>
    </row>
    <row r="59" spans="2:5" x14ac:dyDescent="0.2">
      <c r="B59" s="10" t="s">
        <v>6</v>
      </c>
      <c r="C59" s="8">
        <v>1581800</v>
      </c>
      <c r="D59" s="65"/>
      <c r="E59" s="66"/>
    </row>
    <row r="60" spans="2:5" x14ac:dyDescent="0.2">
      <c r="B60" s="7" t="s">
        <v>11</v>
      </c>
      <c r="C60" s="8">
        <v>751700</v>
      </c>
      <c r="D60" s="65"/>
      <c r="E60" s="66"/>
    </row>
    <row r="61" spans="2:5" x14ac:dyDescent="0.2">
      <c r="B61" s="7" t="s">
        <v>58</v>
      </c>
      <c r="C61" s="8">
        <v>386700</v>
      </c>
      <c r="D61" s="65"/>
      <c r="E61" s="66"/>
    </row>
    <row r="62" spans="2:5" x14ac:dyDescent="0.2">
      <c r="B62" s="7" t="s">
        <v>65</v>
      </c>
      <c r="C62" s="8">
        <v>199200</v>
      </c>
      <c r="D62" s="65"/>
      <c r="E62" s="66"/>
    </row>
    <row r="63" spans="2:5" x14ac:dyDescent="0.2">
      <c r="B63" s="7" t="s">
        <v>69</v>
      </c>
      <c r="C63" s="8">
        <v>423100</v>
      </c>
      <c r="D63" s="65"/>
      <c r="E63" s="66"/>
    </row>
    <row r="64" spans="2:5" x14ac:dyDescent="0.2">
      <c r="B64" s="10" t="s">
        <v>71</v>
      </c>
      <c r="C64" s="8">
        <v>485600</v>
      </c>
      <c r="D64" s="65"/>
      <c r="E64" s="66"/>
    </row>
    <row r="65" spans="2:5" x14ac:dyDescent="0.2">
      <c r="B65" s="10" t="s">
        <v>137</v>
      </c>
      <c r="C65" s="8">
        <v>235600</v>
      </c>
      <c r="D65" s="65"/>
      <c r="E65" s="66"/>
    </row>
    <row r="66" spans="2:5" ht="13.5" thickBot="1" x14ac:dyDescent="0.25">
      <c r="B66" s="10" t="s">
        <v>72</v>
      </c>
      <c r="C66" s="8">
        <v>1142000</v>
      </c>
      <c r="D66" s="67"/>
      <c r="E66" s="68"/>
    </row>
    <row r="67" spans="2:5" ht="15.75" thickBot="1" x14ac:dyDescent="0.3">
      <c r="B67" s="6" t="s">
        <v>193</v>
      </c>
      <c r="C67" s="60">
        <f>SUM(C56:C66,E56:E66)</f>
        <v>11641150</v>
      </c>
      <c r="D67" s="61"/>
      <c r="E67" s="62"/>
    </row>
    <row r="68" spans="2:5" ht="13.5" thickBot="1" x14ac:dyDescent="0.25"/>
    <row r="69" spans="2:5" ht="15.75" thickBot="1" x14ac:dyDescent="0.3">
      <c r="B69" s="51" t="s">
        <v>198</v>
      </c>
      <c r="C69" s="52"/>
      <c r="D69" s="52"/>
      <c r="E69" s="53"/>
    </row>
    <row r="70" spans="2:5" ht="30.75" thickBot="1" x14ac:dyDescent="0.25">
      <c r="B70" s="25" t="s">
        <v>143</v>
      </c>
      <c r="C70" s="26" t="s">
        <v>242</v>
      </c>
      <c r="D70" s="25" t="s">
        <v>151</v>
      </c>
      <c r="E70" s="26" t="s">
        <v>242</v>
      </c>
    </row>
    <row r="71" spans="2:5" x14ac:dyDescent="0.2">
      <c r="B71" s="7" t="s">
        <v>61</v>
      </c>
      <c r="C71" s="8">
        <v>550000</v>
      </c>
      <c r="D71" s="9" t="s">
        <v>177</v>
      </c>
      <c r="E71" s="8">
        <v>150000</v>
      </c>
    </row>
    <row r="72" spans="2:5" x14ac:dyDescent="0.2">
      <c r="B72" s="10" t="s">
        <v>3</v>
      </c>
      <c r="C72" s="8">
        <v>370900</v>
      </c>
      <c r="D72" s="9" t="s">
        <v>181</v>
      </c>
      <c r="E72" s="8">
        <v>150000</v>
      </c>
    </row>
    <row r="73" spans="2:5" x14ac:dyDescent="0.2">
      <c r="B73" s="10" t="s">
        <v>44</v>
      </c>
      <c r="C73" s="8">
        <v>215800</v>
      </c>
      <c r="D73" s="11" t="s">
        <v>182</v>
      </c>
      <c r="E73" s="8">
        <v>150000</v>
      </c>
    </row>
    <row r="74" spans="2:5" x14ac:dyDescent="0.2">
      <c r="B74" s="7" t="s">
        <v>45</v>
      </c>
      <c r="C74" s="8">
        <v>180300</v>
      </c>
      <c r="D74" s="11" t="s">
        <v>185</v>
      </c>
      <c r="E74" s="8">
        <v>150000</v>
      </c>
    </row>
    <row r="75" spans="2:5" x14ac:dyDescent="0.2">
      <c r="B75" s="10" t="s">
        <v>43</v>
      </c>
      <c r="C75" s="8">
        <v>1332300</v>
      </c>
      <c r="D75" s="54"/>
      <c r="E75" s="55"/>
    </row>
    <row r="76" spans="2:5" x14ac:dyDescent="0.2">
      <c r="B76" s="7" t="s">
        <v>47</v>
      </c>
      <c r="C76" s="8">
        <v>289100</v>
      </c>
      <c r="D76" s="56"/>
      <c r="E76" s="57"/>
    </row>
    <row r="77" spans="2:5" x14ac:dyDescent="0.2">
      <c r="B77" s="7" t="s">
        <v>104</v>
      </c>
      <c r="C77" s="8">
        <v>693450</v>
      </c>
      <c r="D77" s="56"/>
      <c r="E77" s="57"/>
    </row>
    <row r="78" spans="2:5" x14ac:dyDescent="0.2">
      <c r="B78" s="7" t="s">
        <v>1</v>
      </c>
      <c r="C78" s="8">
        <v>3889800</v>
      </c>
      <c r="D78" s="56"/>
      <c r="E78" s="57"/>
    </row>
    <row r="79" spans="2:5" ht="13.5" thickBot="1" x14ac:dyDescent="0.25">
      <c r="B79" s="10" t="s">
        <v>46</v>
      </c>
      <c r="C79" s="8">
        <v>513900</v>
      </c>
      <c r="D79" s="56"/>
      <c r="E79" s="57"/>
    </row>
    <row r="80" spans="2:5" ht="15.75" thickBot="1" x14ac:dyDescent="0.3">
      <c r="B80" s="6" t="s">
        <v>193</v>
      </c>
      <c r="C80" s="60">
        <f>SUM(C71:C79,E71:E79)</f>
        <v>8635550</v>
      </c>
      <c r="D80" s="61"/>
      <c r="E80" s="62"/>
    </row>
    <row r="81" spans="2:5" ht="13.5" thickBot="1" x14ac:dyDescent="0.25"/>
    <row r="82" spans="2:5" ht="15.75" thickBot="1" x14ac:dyDescent="0.3">
      <c r="B82" s="51" t="s">
        <v>199</v>
      </c>
      <c r="C82" s="52"/>
      <c r="D82" s="52"/>
      <c r="E82" s="53"/>
    </row>
    <row r="83" spans="2:5" ht="30.75" thickBot="1" x14ac:dyDescent="0.25">
      <c r="B83" s="25" t="s">
        <v>143</v>
      </c>
      <c r="C83" s="26" t="s">
        <v>242</v>
      </c>
      <c r="D83" s="25" t="s">
        <v>151</v>
      </c>
      <c r="E83" s="26" t="s">
        <v>242</v>
      </c>
    </row>
    <row r="84" spans="2:5" x14ac:dyDescent="0.2">
      <c r="B84" s="7" t="s">
        <v>16</v>
      </c>
      <c r="C84" s="8">
        <v>639400</v>
      </c>
      <c r="D84" s="9" t="s">
        <v>153</v>
      </c>
      <c r="E84" s="8">
        <v>150000</v>
      </c>
    </row>
    <row r="85" spans="2:5" x14ac:dyDescent="0.2">
      <c r="B85" s="10" t="s">
        <v>60</v>
      </c>
      <c r="C85" s="8">
        <v>752300</v>
      </c>
      <c r="D85" s="9" t="s">
        <v>157</v>
      </c>
      <c r="E85" s="8">
        <v>150000</v>
      </c>
    </row>
    <row r="86" spans="2:5" x14ac:dyDescent="0.2">
      <c r="B86" s="10" t="s">
        <v>128</v>
      </c>
      <c r="C86" s="8">
        <v>3040400</v>
      </c>
      <c r="D86" s="11" t="s">
        <v>158</v>
      </c>
      <c r="E86" s="8">
        <v>150000</v>
      </c>
    </row>
    <row r="87" spans="2:5" x14ac:dyDescent="0.2">
      <c r="B87" s="7" t="s">
        <v>83</v>
      </c>
      <c r="C87" s="8">
        <v>1004800</v>
      </c>
      <c r="D87" s="56"/>
      <c r="E87" s="57"/>
    </row>
    <row r="88" spans="2:5" x14ac:dyDescent="0.2">
      <c r="B88" s="10" t="s">
        <v>67</v>
      </c>
      <c r="C88" s="8">
        <v>882600</v>
      </c>
      <c r="D88" s="56"/>
      <c r="E88" s="57"/>
    </row>
    <row r="89" spans="2:5" x14ac:dyDescent="0.2">
      <c r="B89" s="7" t="s">
        <v>114</v>
      </c>
      <c r="C89" s="8">
        <v>241000</v>
      </c>
      <c r="D89" s="56"/>
      <c r="E89" s="57"/>
    </row>
    <row r="90" spans="2:5" x14ac:dyDescent="0.2">
      <c r="B90" s="7" t="s">
        <v>142</v>
      </c>
      <c r="C90" s="8">
        <v>914500</v>
      </c>
      <c r="D90" s="56"/>
      <c r="E90" s="57"/>
    </row>
    <row r="91" spans="2:5" x14ac:dyDescent="0.2">
      <c r="B91" s="7" t="s">
        <v>68</v>
      </c>
      <c r="C91" s="8">
        <v>299000</v>
      </c>
      <c r="D91" s="56"/>
      <c r="E91" s="57"/>
    </row>
    <row r="92" spans="2:5" x14ac:dyDescent="0.2">
      <c r="B92" s="10" t="s">
        <v>89</v>
      </c>
      <c r="C92" s="8">
        <v>359700</v>
      </c>
      <c r="D92" s="56"/>
      <c r="E92" s="57"/>
    </row>
    <row r="93" spans="2:5" x14ac:dyDescent="0.2">
      <c r="B93" s="10" t="s">
        <v>98</v>
      </c>
      <c r="C93" s="8">
        <v>432000</v>
      </c>
      <c r="D93" s="56"/>
      <c r="E93" s="57"/>
    </row>
    <row r="94" spans="2:5" ht="13.5" thickBot="1" x14ac:dyDescent="0.25">
      <c r="B94" s="10" t="s">
        <v>66</v>
      </c>
      <c r="C94" s="8">
        <v>731300</v>
      </c>
      <c r="D94" s="56"/>
      <c r="E94" s="57"/>
    </row>
    <row r="95" spans="2:5" ht="15.75" thickBot="1" x14ac:dyDescent="0.3">
      <c r="B95" s="6" t="s">
        <v>193</v>
      </c>
      <c r="C95" s="60">
        <f>SUM(C84:C94,E84:E94)</f>
        <v>9747000</v>
      </c>
      <c r="D95" s="61"/>
      <c r="E95" s="62"/>
    </row>
    <row r="96" spans="2:5" ht="13.5" thickBot="1" x14ac:dyDescent="0.25"/>
    <row r="97" spans="2:5" ht="15.75" thickBot="1" x14ac:dyDescent="0.3">
      <c r="B97" s="51" t="s">
        <v>200</v>
      </c>
      <c r="C97" s="52"/>
      <c r="D97" s="52"/>
      <c r="E97" s="53"/>
    </row>
    <row r="98" spans="2:5" ht="30.75" thickBot="1" x14ac:dyDescent="0.25">
      <c r="B98" s="25" t="s">
        <v>143</v>
      </c>
      <c r="C98" s="26" t="s">
        <v>242</v>
      </c>
      <c r="D98" s="25" t="s">
        <v>151</v>
      </c>
      <c r="E98" s="26" t="s">
        <v>242</v>
      </c>
    </row>
    <row r="99" spans="2:5" x14ac:dyDescent="0.2">
      <c r="B99" s="7" t="s">
        <v>19</v>
      </c>
      <c r="C99" s="8">
        <v>981100</v>
      </c>
      <c r="D99" s="9" t="s">
        <v>159</v>
      </c>
      <c r="E99" s="8">
        <v>150000</v>
      </c>
    </row>
    <row r="100" spans="2:5" x14ac:dyDescent="0.2">
      <c r="B100" s="10" t="s">
        <v>21</v>
      </c>
      <c r="C100" s="8">
        <v>300800</v>
      </c>
      <c r="D100" s="9" t="s">
        <v>163</v>
      </c>
      <c r="E100" s="8">
        <v>150000</v>
      </c>
    </row>
    <row r="101" spans="2:5" x14ac:dyDescent="0.2">
      <c r="B101" s="10" t="s">
        <v>53</v>
      </c>
      <c r="C101" s="8">
        <v>354300</v>
      </c>
      <c r="D101" s="11" t="s">
        <v>179</v>
      </c>
      <c r="E101" s="8">
        <v>150000</v>
      </c>
    </row>
    <row r="102" spans="2:5" x14ac:dyDescent="0.2">
      <c r="B102" s="7" t="s">
        <v>22</v>
      </c>
      <c r="C102" s="8">
        <v>693800</v>
      </c>
      <c r="D102" s="11" t="s">
        <v>180</v>
      </c>
      <c r="E102" s="8">
        <v>150000</v>
      </c>
    </row>
    <row r="103" spans="2:5" x14ac:dyDescent="0.2">
      <c r="B103" s="10" t="s">
        <v>23</v>
      </c>
      <c r="C103" s="8">
        <v>446500</v>
      </c>
      <c r="D103" s="54"/>
      <c r="E103" s="55"/>
    </row>
    <row r="104" spans="2:5" x14ac:dyDescent="0.2">
      <c r="B104" s="7" t="s">
        <v>27</v>
      </c>
      <c r="C104" s="8">
        <v>223900</v>
      </c>
      <c r="D104" s="56"/>
      <c r="E104" s="57"/>
    </row>
    <row r="105" spans="2:5" x14ac:dyDescent="0.2">
      <c r="B105" s="7" t="s">
        <v>24</v>
      </c>
      <c r="C105" s="8">
        <v>416800</v>
      </c>
      <c r="D105" s="56"/>
      <c r="E105" s="57"/>
    </row>
    <row r="106" spans="2:5" x14ac:dyDescent="0.2">
      <c r="B106" s="7" t="s">
        <v>54</v>
      </c>
      <c r="C106" s="8">
        <v>378100</v>
      </c>
      <c r="D106" s="56"/>
      <c r="E106" s="57"/>
    </row>
    <row r="107" spans="2:5" x14ac:dyDescent="0.2">
      <c r="B107" s="10" t="s">
        <v>56</v>
      </c>
      <c r="C107" s="8">
        <v>491000</v>
      </c>
      <c r="D107" s="56"/>
      <c r="E107" s="57"/>
    </row>
    <row r="108" spans="2:5" x14ac:dyDescent="0.2">
      <c r="B108" s="10" t="s">
        <v>57</v>
      </c>
      <c r="C108" s="8">
        <v>1087700</v>
      </c>
      <c r="D108" s="56"/>
      <c r="E108" s="57"/>
    </row>
    <row r="109" spans="2:5" x14ac:dyDescent="0.2">
      <c r="B109" s="10" t="s">
        <v>52</v>
      </c>
      <c r="C109" s="8">
        <v>334500</v>
      </c>
      <c r="D109" s="56"/>
      <c r="E109" s="57"/>
    </row>
    <row r="110" spans="2:5" x14ac:dyDescent="0.2">
      <c r="B110" s="10" t="s">
        <v>0</v>
      </c>
      <c r="C110" s="8">
        <v>2352900</v>
      </c>
      <c r="D110" s="56"/>
      <c r="E110" s="57"/>
    </row>
    <row r="111" spans="2:5" x14ac:dyDescent="0.2">
      <c r="B111" s="10" t="s">
        <v>25</v>
      </c>
      <c r="C111" s="8">
        <v>355400</v>
      </c>
      <c r="D111" s="56"/>
      <c r="E111" s="57"/>
    </row>
    <row r="112" spans="2:5" x14ac:dyDescent="0.2">
      <c r="B112" s="10" t="s">
        <v>20</v>
      </c>
      <c r="C112" s="8">
        <v>762600</v>
      </c>
      <c r="D112" s="56"/>
      <c r="E112" s="57"/>
    </row>
    <row r="113" spans="2:5" x14ac:dyDescent="0.2">
      <c r="B113" s="10" t="s">
        <v>55</v>
      </c>
      <c r="C113" s="8">
        <v>149700</v>
      </c>
      <c r="D113" s="56"/>
      <c r="E113" s="57"/>
    </row>
    <row r="114" spans="2:5" x14ac:dyDescent="0.2">
      <c r="B114" s="10" t="s">
        <v>117</v>
      </c>
      <c r="C114" s="8">
        <v>699000</v>
      </c>
      <c r="D114" s="56"/>
      <c r="E114" s="57"/>
    </row>
    <row r="115" spans="2:5" ht="13.5" thickBot="1" x14ac:dyDescent="0.25">
      <c r="B115" s="10" t="s">
        <v>10</v>
      </c>
      <c r="C115" s="8">
        <v>600800</v>
      </c>
      <c r="D115" s="58"/>
      <c r="E115" s="59"/>
    </row>
    <row r="116" spans="2:5" ht="15.75" thickBot="1" x14ac:dyDescent="0.3">
      <c r="B116" s="6" t="s">
        <v>193</v>
      </c>
      <c r="C116" s="60">
        <f>SUM(C99:C115,E99:E115)</f>
        <v>11228900</v>
      </c>
      <c r="D116" s="61"/>
      <c r="E116" s="62"/>
    </row>
    <row r="117" spans="2:5" ht="13.5" thickBot="1" x14ac:dyDescent="0.25"/>
    <row r="118" spans="2:5" ht="15.75" thickBot="1" x14ac:dyDescent="0.3">
      <c r="B118" s="51" t="s">
        <v>201</v>
      </c>
      <c r="C118" s="52"/>
      <c r="D118" s="52"/>
      <c r="E118" s="53"/>
    </row>
    <row r="119" spans="2:5" ht="30.75" thickBot="1" x14ac:dyDescent="0.25">
      <c r="B119" s="25" t="s">
        <v>143</v>
      </c>
      <c r="C119" s="26" t="s">
        <v>242</v>
      </c>
      <c r="D119" s="25" t="s">
        <v>151</v>
      </c>
      <c r="E119" s="26" t="s">
        <v>242</v>
      </c>
    </row>
    <row r="120" spans="2:5" x14ac:dyDescent="0.2">
      <c r="B120" s="7" t="s">
        <v>99</v>
      </c>
      <c r="C120" s="8">
        <v>365100</v>
      </c>
      <c r="D120" s="11" t="s">
        <v>165</v>
      </c>
      <c r="E120" s="8">
        <v>150000</v>
      </c>
    </row>
    <row r="121" spans="2:5" x14ac:dyDescent="0.2">
      <c r="B121" s="10" t="s">
        <v>100</v>
      </c>
      <c r="C121" s="8">
        <v>349300</v>
      </c>
      <c r="D121" s="9" t="s">
        <v>173</v>
      </c>
      <c r="E121" s="8">
        <v>150000</v>
      </c>
    </row>
    <row r="122" spans="2:5" x14ac:dyDescent="0.2">
      <c r="B122" s="10" t="s">
        <v>94</v>
      </c>
      <c r="C122" s="8">
        <v>319700</v>
      </c>
      <c r="D122" s="54"/>
      <c r="E122" s="55"/>
    </row>
    <row r="123" spans="2:5" x14ac:dyDescent="0.2">
      <c r="B123" s="7" t="s">
        <v>103</v>
      </c>
      <c r="C123" s="8">
        <v>647400</v>
      </c>
      <c r="D123" s="56"/>
      <c r="E123" s="57"/>
    </row>
    <row r="124" spans="2:5" x14ac:dyDescent="0.2">
      <c r="B124" s="10" t="s">
        <v>92</v>
      </c>
      <c r="C124" s="8">
        <v>360600</v>
      </c>
      <c r="D124" s="56"/>
      <c r="E124" s="57"/>
    </row>
    <row r="125" spans="2:5" x14ac:dyDescent="0.2">
      <c r="B125" s="7" t="s">
        <v>111</v>
      </c>
      <c r="C125" s="8">
        <v>160500</v>
      </c>
      <c r="D125" s="56"/>
      <c r="E125" s="57"/>
    </row>
    <row r="126" spans="2:5" x14ac:dyDescent="0.2">
      <c r="B126" s="7" t="s">
        <v>7</v>
      </c>
      <c r="C126" s="8">
        <v>3253600</v>
      </c>
      <c r="D126" s="56"/>
      <c r="E126" s="57"/>
    </row>
    <row r="127" spans="2:5" x14ac:dyDescent="0.2">
      <c r="B127" s="7" t="s">
        <v>106</v>
      </c>
      <c r="C127" s="8">
        <v>903300</v>
      </c>
      <c r="D127" s="56"/>
      <c r="E127" s="57"/>
    </row>
    <row r="128" spans="2:5" x14ac:dyDescent="0.2">
      <c r="B128" s="10" t="s">
        <v>102</v>
      </c>
      <c r="C128" s="8">
        <v>415000</v>
      </c>
      <c r="D128" s="56"/>
      <c r="E128" s="57"/>
    </row>
    <row r="129" spans="2:5" x14ac:dyDescent="0.2">
      <c r="B129" s="10" t="s">
        <v>107</v>
      </c>
      <c r="C129" s="8">
        <v>653200</v>
      </c>
      <c r="D129" s="56"/>
      <c r="E129" s="57"/>
    </row>
    <row r="130" spans="2:5" x14ac:dyDescent="0.2">
      <c r="B130" s="10" t="s">
        <v>78</v>
      </c>
      <c r="C130" s="8">
        <v>857500</v>
      </c>
      <c r="D130" s="56"/>
      <c r="E130" s="57"/>
    </row>
    <row r="131" spans="2:5" x14ac:dyDescent="0.2">
      <c r="B131" s="10" t="s">
        <v>62</v>
      </c>
      <c r="C131" s="8">
        <v>205800</v>
      </c>
      <c r="D131" s="56"/>
      <c r="E131" s="57"/>
    </row>
    <row r="132" spans="2:5" x14ac:dyDescent="0.2">
      <c r="B132" s="10" t="s">
        <v>101</v>
      </c>
      <c r="C132" s="8">
        <v>751700</v>
      </c>
      <c r="D132" s="56"/>
      <c r="E132" s="57"/>
    </row>
    <row r="133" spans="2:5" x14ac:dyDescent="0.2">
      <c r="B133" s="10" t="s">
        <v>77</v>
      </c>
      <c r="C133" s="8">
        <v>998200</v>
      </c>
      <c r="D133" s="56"/>
      <c r="E133" s="57"/>
    </row>
    <row r="134" spans="2:5" x14ac:dyDescent="0.2">
      <c r="B134" s="10" t="s">
        <v>93</v>
      </c>
      <c r="C134" s="8">
        <v>858800</v>
      </c>
      <c r="D134" s="56"/>
      <c r="E134" s="57"/>
    </row>
    <row r="135" spans="2:5" ht="13.5" thickBot="1" x14ac:dyDescent="0.25">
      <c r="B135" s="10" t="s">
        <v>109</v>
      </c>
      <c r="C135" s="8">
        <v>889400</v>
      </c>
      <c r="D135" s="58"/>
      <c r="E135" s="59"/>
    </row>
    <row r="136" spans="2:5" ht="15.75" thickBot="1" x14ac:dyDescent="0.3">
      <c r="B136" s="6" t="s">
        <v>193</v>
      </c>
      <c r="C136" s="60">
        <f>SUM(C120:C135,E120:E135)</f>
        <v>12289100</v>
      </c>
      <c r="D136" s="61"/>
      <c r="E136" s="62"/>
    </row>
    <row r="137" spans="2:5" ht="13.5" thickBot="1" x14ac:dyDescent="0.25"/>
    <row r="138" spans="2:5" ht="15.75" thickBot="1" x14ac:dyDescent="0.3">
      <c r="B138" s="51" t="s">
        <v>202</v>
      </c>
      <c r="C138" s="52"/>
      <c r="D138" s="52"/>
      <c r="E138" s="53"/>
    </row>
    <row r="139" spans="2:5" ht="30.75" thickBot="1" x14ac:dyDescent="0.25">
      <c r="B139" s="25" t="s">
        <v>143</v>
      </c>
      <c r="C139" s="26" t="s">
        <v>242</v>
      </c>
      <c r="D139" s="25" t="s">
        <v>151</v>
      </c>
      <c r="E139" s="26" t="s">
        <v>242</v>
      </c>
    </row>
    <row r="140" spans="2:5" x14ac:dyDescent="0.2">
      <c r="B140" s="7" t="s">
        <v>136</v>
      </c>
      <c r="C140" s="8">
        <v>424350</v>
      </c>
      <c r="D140" s="11" t="s">
        <v>171</v>
      </c>
      <c r="E140" s="8">
        <v>150000</v>
      </c>
    </row>
    <row r="141" spans="2:5" x14ac:dyDescent="0.2">
      <c r="B141" s="10" t="s">
        <v>13</v>
      </c>
      <c r="C141" s="8">
        <v>1020800</v>
      </c>
      <c r="D141" s="11" t="s">
        <v>172</v>
      </c>
      <c r="E141" s="8">
        <v>150000</v>
      </c>
    </row>
    <row r="142" spans="2:5" x14ac:dyDescent="0.2">
      <c r="B142" s="10" t="s">
        <v>74</v>
      </c>
      <c r="C142" s="8">
        <v>420400</v>
      </c>
      <c r="D142" s="11" t="s">
        <v>186</v>
      </c>
      <c r="E142" s="8">
        <v>150000</v>
      </c>
    </row>
    <row r="143" spans="2:5" x14ac:dyDescent="0.2">
      <c r="B143" s="7" t="s">
        <v>75</v>
      </c>
      <c r="C143" s="8">
        <v>167700</v>
      </c>
      <c r="D143" s="54"/>
      <c r="E143" s="55"/>
    </row>
    <row r="144" spans="2:5" x14ac:dyDescent="0.2">
      <c r="B144" s="10" t="s">
        <v>59</v>
      </c>
      <c r="C144" s="8">
        <v>430950</v>
      </c>
      <c r="D144" s="56"/>
      <c r="E144" s="57"/>
    </row>
    <row r="145" spans="2:5" x14ac:dyDescent="0.2">
      <c r="B145" s="7" t="s">
        <v>40</v>
      </c>
      <c r="C145" s="8">
        <v>716600</v>
      </c>
      <c r="D145" s="56"/>
      <c r="E145" s="57"/>
    </row>
    <row r="146" spans="2:5" x14ac:dyDescent="0.2">
      <c r="B146" s="7" t="s">
        <v>64</v>
      </c>
      <c r="C146" s="8">
        <v>281300</v>
      </c>
      <c r="D146" s="56"/>
      <c r="E146" s="57"/>
    </row>
    <row r="147" spans="2:5" x14ac:dyDescent="0.2">
      <c r="B147" s="7" t="s">
        <v>63</v>
      </c>
      <c r="C147" s="8">
        <v>291200</v>
      </c>
      <c r="D147" s="56"/>
      <c r="E147" s="57"/>
    </row>
    <row r="148" spans="2:5" x14ac:dyDescent="0.2">
      <c r="B148" s="10" t="s">
        <v>70</v>
      </c>
      <c r="C148" s="8">
        <v>361150</v>
      </c>
      <c r="D148" s="56"/>
      <c r="E148" s="57"/>
    </row>
    <row r="149" spans="2:5" x14ac:dyDescent="0.2">
      <c r="B149" s="10" t="s">
        <v>122</v>
      </c>
      <c r="C149" s="8">
        <v>656000</v>
      </c>
      <c r="D149" s="56"/>
      <c r="E149" s="57"/>
    </row>
    <row r="150" spans="2:5" x14ac:dyDescent="0.2">
      <c r="B150" s="10" t="s">
        <v>120</v>
      </c>
      <c r="C150" s="8">
        <v>634000</v>
      </c>
      <c r="D150" s="56"/>
      <c r="E150" s="57"/>
    </row>
    <row r="151" spans="2:5" x14ac:dyDescent="0.2">
      <c r="B151" s="10" t="s">
        <v>125</v>
      </c>
      <c r="C151" s="8">
        <v>1051200</v>
      </c>
      <c r="D151" s="56"/>
      <c r="E151" s="57"/>
    </row>
    <row r="152" spans="2:5" x14ac:dyDescent="0.2">
      <c r="B152" s="10" t="s">
        <v>121</v>
      </c>
      <c r="C152" s="8">
        <v>432100</v>
      </c>
      <c r="D152" s="56"/>
      <c r="E152" s="57"/>
    </row>
    <row r="153" spans="2:5" x14ac:dyDescent="0.2">
      <c r="B153" s="10" t="s">
        <v>123</v>
      </c>
      <c r="C153" s="8">
        <v>1717600</v>
      </c>
      <c r="D153" s="56"/>
      <c r="E153" s="57"/>
    </row>
    <row r="154" spans="2:5" x14ac:dyDescent="0.2">
      <c r="B154" s="10" t="s">
        <v>119</v>
      </c>
      <c r="C154" s="8">
        <v>211300</v>
      </c>
      <c r="D154" s="56"/>
      <c r="E154" s="57"/>
    </row>
    <row r="155" spans="2:5" x14ac:dyDescent="0.2">
      <c r="B155" s="10" t="s">
        <v>124</v>
      </c>
      <c r="C155" s="8">
        <v>487400</v>
      </c>
      <c r="D155" s="56"/>
      <c r="E155" s="57"/>
    </row>
    <row r="156" spans="2:5" x14ac:dyDescent="0.2">
      <c r="B156" s="10" t="s">
        <v>87</v>
      </c>
      <c r="C156" s="8">
        <v>63800</v>
      </c>
      <c r="D156" s="56"/>
      <c r="E156" s="57"/>
    </row>
    <row r="157" spans="2:5" ht="13.5" thickBot="1" x14ac:dyDescent="0.25">
      <c r="B157" s="10" t="s">
        <v>48</v>
      </c>
      <c r="C157" s="8">
        <v>779550</v>
      </c>
      <c r="D157" s="58"/>
      <c r="E157" s="59"/>
    </row>
    <row r="158" spans="2:5" ht="15.75" thickBot="1" x14ac:dyDescent="0.3">
      <c r="B158" s="6" t="s">
        <v>193</v>
      </c>
      <c r="C158" s="60">
        <f>SUM(C140:C157,E140:E157)</f>
        <v>10597400</v>
      </c>
      <c r="D158" s="61"/>
      <c r="E158" s="62"/>
    </row>
    <row r="159" spans="2:5" ht="13.5" thickBot="1" x14ac:dyDescent="0.25"/>
    <row r="160" spans="2:5" ht="15.75" thickBot="1" x14ac:dyDescent="0.3">
      <c r="B160" s="51" t="s">
        <v>203</v>
      </c>
      <c r="C160" s="52"/>
      <c r="D160" s="52"/>
      <c r="E160" s="53"/>
    </row>
    <row r="161" spans="2:5" ht="30.75" thickBot="1" x14ac:dyDescent="0.25">
      <c r="B161" s="25" t="s">
        <v>143</v>
      </c>
      <c r="C161" s="26" t="s">
        <v>242</v>
      </c>
      <c r="D161" s="25" t="s">
        <v>151</v>
      </c>
      <c r="E161" s="26" t="s">
        <v>242</v>
      </c>
    </row>
    <row r="162" spans="2:5" x14ac:dyDescent="0.2">
      <c r="B162" s="7" t="s">
        <v>141</v>
      </c>
      <c r="C162" s="8">
        <v>921300</v>
      </c>
      <c r="D162" s="9" t="s">
        <v>160</v>
      </c>
      <c r="E162" s="8">
        <v>150000</v>
      </c>
    </row>
    <row r="163" spans="2:5" x14ac:dyDescent="0.2">
      <c r="B163" s="10" t="s">
        <v>131</v>
      </c>
      <c r="C163" s="8">
        <v>1370400</v>
      </c>
      <c r="D163" s="9" t="s">
        <v>161</v>
      </c>
      <c r="E163" s="8">
        <v>150000</v>
      </c>
    </row>
    <row r="164" spans="2:5" x14ac:dyDescent="0.2">
      <c r="B164" s="10" t="s">
        <v>132</v>
      </c>
      <c r="C164" s="8">
        <v>510800</v>
      </c>
      <c r="D164" s="9" t="s">
        <v>162</v>
      </c>
      <c r="E164" s="8">
        <v>150000</v>
      </c>
    </row>
    <row r="165" spans="2:5" x14ac:dyDescent="0.2">
      <c r="B165" s="7" t="s">
        <v>113</v>
      </c>
      <c r="C165" s="8">
        <v>1322700</v>
      </c>
      <c r="D165" s="11" t="s">
        <v>170</v>
      </c>
      <c r="E165" s="8">
        <v>150000</v>
      </c>
    </row>
    <row r="166" spans="2:5" x14ac:dyDescent="0.2">
      <c r="B166" s="10" t="s">
        <v>129</v>
      </c>
      <c r="C166" s="8">
        <v>955000</v>
      </c>
      <c r="D166" s="54"/>
      <c r="E166" s="55"/>
    </row>
    <row r="167" spans="2:5" x14ac:dyDescent="0.2">
      <c r="B167" s="7" t="s">
        <v>91</v>
      </c>
      <c r="C167" s="8">
        <v>1131700</v>
      </c>
      <c r="D167" s="56"/>
      <c r="E167" s="57"/>
    </row>
    <row r="168" spans="2:5" x14ac:dyDescent="0.2">
      <c r="B168" s="7" t="s">
        <v>140</v>
      </c>
      <c r="C168" s="8">
        <v>641200</v>
      </c>
      <c r="D168" s="56"/>
      <c r="E168" s="57"/>
    </row>
    <row r="169" spans="2:5" x14ac:dyDescent="0.2">
      <c r="B169" s="7" t="s">
        <v>130</v>
      </c>
      <c r="C169" s="8">
        <v>817000</v>
      </c>
      <c r="D169" s="56"/>
      <c r="E169" s="57"/>
    </row>
    <row r="170" spans="2:5" x14ac:dyDescent="0.2">
      <c r="B170" s="10" t="s">
        <v>42</v>
      </c>
      <c r="C170" s="8">
        <v>772900</v>
      </c>
      <c r="D170" s="56"/>
      <c r="E170" s="57"/>
    </row>
    <row r="171" spans="2:5" x14ac:dyDescent="0.2">
      <c r="B171" s="10" t="s">
        <v>50</v>
      </c>
      <c r="C171" s="8">
        <v>929000</v>
      </c>
      <c r="D171" s="56"/>
      <c r="E171" s="57"/>
    </row>
    <row r="172" spans="2:5" ht="13.5" thickBot="1" x14ac:dyDescent="0.25">
      <c r="B172" s="10" t="s">
        <v>49</v>
      </c>
      <c r="C172" s="8">
        <v>265350</v>
      </c>
      <c r="D172" s="56"/>
      <c r="E172" s="57"/>
    </row>
    <row r="173" spans="2:5" ht="15.75" thickBot="1" x14ac:dyDescent="0.3">
      <c r="B173" s="6" t="s">
        <v>193</v>
      </c>
      <c r="C173" s="60">
        <f>SUM(C162:C172,E162:E172)</f>
        <v>10237350</v>
      </c>
      <c r="D173" s="61"/>
      <c r="E173" s="62"/>
    </row>
  </sheetData>
  <mergeCells count="30">
    <mergeCell ref="B2:E2"/>
    <mergeCell ref="C20:E20"/>
    <mergeCell ref="B22:E22"/>
    <mergeCell ref="B54:E54"/>
    <mergeCell ref="D9:E19"/>
    <mergeCell ref="D28:E41"/>
    <mergeCell ref="C67:E67"/>
    <mergeCell ref="C42:E42"/>
    <mergeCell ref="B44:E44"/>
    <mergeCell ref="C52:E52"/>
    <mergeCell ref="C116:E116"/>
    <mergeCell ref="D87:E94"/>
    <mergeCell ref="B69:E69"/>
    <mergeCell ref="C80:E80"/>
    <mergeCell ref="B82:E82"/>
    <mergeCell ref="C95:E95"/>
    <mergeCell ref="B97:E97"/>
    <mergeCell ref="D58:E66"/>
    <mergeCell ref="D50:E51"/>
    <mergeCell ref="D75:E79"/>
    <mergeCell ref="D103:E115"/>
    <mergeCell ref="B118:E118"/>
    <mergeCell ref="D122:E135"/>
    <mergeCell ref="D143:E157"/>
    <mergeCell ref="C173:E173"/>
    <mergeCell ref="C136:E136"/>
    <mergeCell ref="B138:E138"/>
    <mergeCell ref="C158:E158"/>
    <mergeCell ref="B160:E160"/>
    <mergeCell ref="D166:E172"/>
  </mergeCells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Ulice modernizace</vt:lpstr>
      <vt:lpstr>RVO modernizace</vt:lpstr>
      <vt:lpstr>Harmonogram modernizace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Smugala Ondrej, Ing.</dc:creator>
  <cp:lastModifiedBy>Smugala Ondrej, Ing.</cp:lastModifiedBy>
  <dcterms:created xsi:type="dcterms:W3CDTF">2021-06-15T11:38:40Z</dcterms:created>
  <dcterms:modified xsi:type="dcterms:W3CDTF">2021-08-12T12:40:58Z</dcterms:modified>
</cp:coreProperties>
</file>