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Stavební rozpočet" sheetId="1" r:id="rId1"/>
    <sheet name="Rozpočet - Jen skupiny" sheetId="2" r:id="rId2"/>
    <sheet name="Výkaz výměr" sheetId="3" r:id="rId3"/>
    <sheet name="Krycí list rozpočtu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<sst xmlns="http://schemas.openxmlformats.org/spreadsheetml/2006/main" count="1303" uniqueCount="553">
  <si>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</si>
  <si>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</si>
  <si>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</si>
  <si>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</si>
  <si>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</si>
  <si>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</si>
  <si>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</si>
  <si>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</si>
  <si>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</si>
  <si>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</si>
  <si>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</si>
  <si>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</si>
  <si>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</si>
  <si>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</si>
  <si>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</si>
  <si>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</si>
  <si>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</si>
  <si>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</si>
  <si>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</si>
  <si>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</si>
  <si>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</si>
  <si>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</si>
  <si>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</si>
  <si>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</si>
  <si>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</si>
  <si>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</si>
  <si>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</si>
  <si>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</si>
  <si>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</si>
  <si>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</si>
  <si>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</si>
  <si>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</si>
  <si>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</si>
  <si>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</si>
  <si>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</si>
  <si>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</si>
  <si>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</si>
  <si>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</si>
  <si>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</si>
  <si>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</si>
  <si>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</si>
  <si>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</si>
  <si>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</si>
  <si>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</si>
  <si>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</si>
  <si>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</si>
  <si>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</si>
  <si>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</si>
  <si>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</si>
  <si>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</si>
  <si>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</si>
  <si>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</si>
  <si>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</si>
  <si>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</si>
  <si>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</si>
  <si>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</si>
  <si>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</si>
  <si>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</si>
  <si>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</si>
  <si>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</si>
  <si>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</si>
  <si>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</si>
  <si>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</si>
  <si>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</si>
  <si>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</si>
  <si>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</si>
  <si>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</si>
  <si>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</si>
  <si>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</si>
  <si>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</si>
  <si>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</si>
  <si>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</si>
  <si>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</si>
  <si>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</si>
  <si>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</si>
  <si>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</si>
  <si>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</si>
  <si>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</si>
  <si>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</si>
  <si>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</si>
  <si>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</si>
  <si>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</si>
  <si>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</si>
  <si>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</si>
  <si>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</si>
  <si>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</si>
  <si>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</si>
  <si>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</si>
  <si>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</si>
  <si>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</si>
  <si>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</si>
  <si>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</si>
  <si>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</si>
  <si>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</si>
  <si>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</si>
  <si>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</si>
  <si>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</si>
  <si>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</si>
  <si>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</si>
  <si>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</si>
  <si>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</si>
  <si>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</si>
  <si>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</si>
  <si>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</si>
  <si>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</si>
  <si>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</si>
  <si>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</si>
  <si>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</si>
  <si>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</si>
  <si>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</si>
  <si>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</si>
  <si>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</si>
  <si>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</si>
  <si>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</si>
  <si>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</si>
  <si>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</si>
  <si>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</si>
  <si>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</si>
  <si>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</si>
  <si>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</si>
  <si>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</si>
  <si>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</si>
  <si>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Poznámka:</t>
  </si>
  <si>
    <t>Objekt</t>
  </si>
  <si>
    <t>Kód</t>
  </si>
  <si>
    <t>120901111RT3IM</t>
  </si>
  <si>
    <t>132301111R00IM</t>
  </si>
  <si>
    <t>132301119R00IM</t>
  </si>
  <si>
    <t>162501102R00IM</t>
  </si>
  <si>
    <t>171206111R00IM</t>
  </si>
  <si>
    <t>199000002R00IM</t>
  </si>
  <si>
    <t>212752112R00IM</t>
  </si>
  <si>
    <t>212971110R00IM</t>
  </si>
  <si>
    <t>69366057IM</t>
  </si>
  <si>
    <t>273313611R00IM</t>
  </si>
  <si>
    <t>273351215RT1IM</t>
  </si>
  <si>
    <t>273351216R00IM</t>
  </si>
  <si>
    <t>273361921RT5IM</t>
  </si>
  <si>
    <t>274321311R00IM</t>
  </si>
  <si>
    <t>274354013R00IM</t>
  </si>
  <si>
    <t>311271423RT1IM</t>
  </si>
  <si>
    <t>311271803R00IM</t>
  </si>
  <si>
    <t>342256254RT3IM</t>
  </si>
  <si>
    <t>416021121R00IM</t>
  </si>
  <si>
    <t>417321315R00IM</t>
  </si>
  <si>
    <t>417351115R00IM</t>
  </si>
  <si>
    <t>417351116R00IM</t>
  </si>
  <si>
    <t>417361721R00IM</t>
  </si>
  <si>
    <t>602011187RS1IM</t>
  </si>
  <si>
    <t>610991111R00IM</t>
  </si>
  <si>
    <t>612421626R00IM</t>
  </si>
  <si>
    <t>612421637R00IM</t>
  </si>
  <si>
    <t>620991121R00IM</t>
  </si>
  <si>
    <t>622421131R00IM</t>
  </si>
  <si>
    <t>629451111R00IM</t>
  </si>
  <si>
    <t>631312611R00IM</t>
  </si>
  <si>
    <t>639571210R00IM</t>
  </si>
  <si>
    <t>639571311R00IM</t>
  </si>
  <si>
    <t>642942111RU4IM</t>
  </si>
  <si>
    <t>648952421RT3IM</t>
  </si>
  <si>
    <t>998011001R00IM</t>
  </si>
  <si>
    <t>711</t>
  </si>
  <si>
    <t>711111001RZ1IM</t>
  </si>
  <si>
    <t>711141559RZ1IM</t>
  </si>
  <si>
    <t>998711101R00</t>
  </si>
  <si>
    <t>712</t>
  </si>
  <si>
    <t>712341559RT2IM</t>
  </si>
  <si>
    <t>62832280IM</t>
  </si>
  <si>
    <t>62833161IM</t>
  </si>
  <si>
    <t>998712101R00</t>
  </si>
  <si>
    <t>713</t>
  </si>
  <si>
    <t>713111121RT2IM</t>
  </si>
  <si>
    <t>713111221RK3IM</t>
  </si>
  <si>
    <t>713121121RT1IM</t>
  </si>
  <si>
    <t>713191100RT9IM</t>
  </si>
  <si>
    <t>28375607IM</t>
  </si>
  <si>
    <t>63166946AIM</t>
  </si>
  <si>
    <t>63166950IM</t>
  </si>
  <si>
    <t>998713101R00</t>
  </si>
  <si>
    <t>721</t>
  </si>
  <si>
    <t>721100012RAAIM</t>
  </si>
  <si>
    <t>721200001RA0IM</t>
  </si>
  <si>
    <t>722</t>
  </si>
  <si>
    <t>722200003RABIM</t>
  </si>
  <si>
    <t>725</t>
  </si>
  <si>
    <t>725100001RA0IM</t>
  </si>
  <si>
    <t>725100006RA0IM</t>
  </si>
  <si>
    <t>725290010RA0IM</t>
  </si>
  <si>
    <t>725290020RA0IM</t>
  </si>
  <si>
    <t>762</t>
  </si>
  <si>
    <t>762083120R00IM</t>
  </si>
  <si>
    <t>762083130R00IM</t>
  </si>
  <si>
    <t>762085130R00IM</t>
  </si>
  <si>
    <t>762088113R00IM</t>
  </si>
  <si>
    <t>762311103R00IM</t>
  </si>
  <si>
    <t>762313111R00IM</t>
  </si>
  <si>
    <t>762332110R00IM</t>
  </si>
  <si>
    <t>762332120R00IM</t>
  </si>
  <si>
    <t>762342811R00IM</t>
  </si>
  <si>
    <t>762395000R00IM</t>
  </si>
  <si>
    <t>762900030RAAIM</t>
  </si>
  <si>
    <t>762911111R00IM</t>
  </si>
  <si>
    <t>60596002IM</t>
  </si>
  <si>
    <t>998762102R00</t>
  </si>
  <si>
    <t>763</t>
  </si>
  <si>
    <t>763611132R00IM</t>
  </si>
  <si>
    <t>60726121IM</t>
  </si>
  <si>
    <t>998763101R00</t>
  </si>
  <si>
    <t>764</t>
  </si>
  <si>
    <t>764323330R00IM</t>
  </si>
  <si>
    <t>764333330R00IM</t>
  </si>
  <si>
    <t>764359312R00IM</t>
  </si>
  <si>
    <t>764391310R00IM</t>
  </si>
  <si>
    <t>764410340R00IM</t>
  </si>
  <si>
    <t>764908105RT1IM</t>
  </si>
  <si>
    <t>764908109RT1IM</t>
  </si>
  <si>
    <t>998764101R00</t>
  </si>
  <si>
    <t>765</t>
  </si>
  <si>
    <t>765900010RABIM</t>
  </si>
  <si>
    <t>766</t>
  </si>
  <si>
    <t>766629301R00IM</t>
  </si>
  <si>
    <t>766661112R00IM</t>
  </si>
  <si>
    <t>766670021R00IM</t>
  </si>
  <si>
    <t>766711021R00IM</t>
  </si>
  <si>
    <t>54914623IM</t>
  </si>
  <si>
    <t>766VD</t>
  </si>
  <si>
    <t>76601VDIM</t>
  </si>
  <si>
    <t>76602VDIM</t>
  </si>
  <si>
    <t>76603VDIM</t>
  </si>
  <si>
    <t>76605VDIM</t>
  </si>
  <si>
    <t>998766101R00</t>
  </si>
  <si>
    <t>771</t>
  </si>
  <si>
    <t>771101210RT1IM</t>
  </si>
  <si>
    <t>771130111R00IM</t>
  </si>
  <si>
    <t>771479001R00IM</t>
  </si>
  <si>
    <t>771575109RT1IM</t>
  </si>
  <si>
    <t>59764203IM</t>
  </si>
  <si>
    <t>998771101R00</t>
  </si>
  <si>
    <t>776</t>
  </si>
  <si>
    <t>776101115R00IM</t>
  </si>
  <si>
    <t>781</t>
  </si>
  <si>
    <t>781101210RT2IM</t>
  </si>
  <si>
    <t>781230121R00IM</t>
  </si>
  <si>
    <t>597813605IM</t>
  </si>
  <si>
    <t>998781101R00</t>
  </si>
  <si>
    <t>784</t>
  </si>
  <si>
    <t>784191101R00IM</t>
  </si>
  <si>
    <t>784195122R00IM</t>
  </si>
  <si>
    <t>784440010RAAIM</t>
  </si>
  <si>
    <t>935112211R00IM</t>
  </si>
  <si>
    <t>941941031R00IM</t>
  </si>
  <si>
    <t>941941831R00IM</t>
  </si>
  <si>
    <t>941955001R00IM</t>
  </si>
  <si>
    <t>952901111R00IM</t>
  </si>
  <si>
    <t>981010020RABIM</t>
  </si>
  <si>
    <t>Hospaoda Sychrov 2</t>
  </si>
  <si>
    <t>přístavba</t>
  </si>
  <si>
    <t>Zkrácený popis</t>
  </si>
  <si>
    <t>Rozměry</t>
  </si>
  <si>
    <t>Odkopávky a prokopávky</t>
  </si>
  <si>
    <t>Bourání konstrukcí kamenných na MV v odkopávkách</t>
  </si>
  <si>
    <t>Hloubené vykopávky</t>
  </si>
  <si>
    <t>Hloubení rýh š.do 60 cm v hor.4 do 100 m3,STROJNĚ</t>
  </si>
  <si>
    <t>Příplatek za lepivost - hloubení rýh 60 cm v hor.4</t>
  </si>
  <si>
    <t>Přemístění výkopku</t>
  </si>
  <si>
    <t>Vodorovné přemístění výkopku z hor.1-4 do 3000 m</t>
  </si>
  <si>
    <t>Konstrukce ze zemin</t>
  </si>
  <si>
    <t>Uložení zemin do násypů předeps. tvarů s urovnáním</t>
  </si>
  <si>
    <t>Hloubení pro podzemní stěny, ražení a hloubení důlní</t>
  </si>
  <si>
    <t>Poplatek za skládku horniny 1- 4</t>
  </si>
  <si>
    <t>Úprava podloží a základové spáry</t>
  </si>
  <si>
    <t>Trativody z drenážních trubek, lože, DN 100 mm</t>
  </si>
  <si>
    <t>Opláštění trativodů z geotext., do sklonu 1:2,5</t>
  </si>
  <si>
    <t>GEOFILTEX 63 100% PP 63/40 400 g/m2 šíře do 8,8m</t>
  </si>
  <si>
    <t>Základy</t>
  </si>
  <si>
    <t>Beton základových desek prostý C 16/20</t>
  </si>
  <si>
    <t>Bednění stěn základových desek - zřízení</t>
  </si>
  <si>
    <t>Bednění stěn základových desek - odstranění</t>
  </si>
  <si>
    <t>Výztuž základových desek ze svařovaných sítí</t>
  </si>
  <si>
    <t>Železobeton základových pasů C 16/20</t>
  </si>
  <si>
    <t>Bednění prostupu základem do 0,01 m2, dl. 1,0 m</t>
  </si>
  <si>
    <t>Zdi podpěrné a volné</t>
  </si>
  <si>
    <t>Zdivo nosné z tvárnic Tresk, tl. 25 cm</t>
  </si>
  <si>
    <t>Zdivo z tvárnic pórobet.PORFIX P2-440 hladk.tl.375</t>
  </si>
  <si>
    <t>Stěny a příčky</t>
  </si>
  <si>
    <t>Příčka z tvárnic porobetonových PORFIX tl. 125 mm</t>
  </si>
  <si>
    <t>Stropy a stropní konstrukce (pro pozemní stavby)</t>
  </si>
  <si>
    <t>Podhledy SDK, kovová.kce CD. 1x deska RB 12,5 mm</t>
  </si>
  <si>
    <t>Ztužující pásy a věnce z betonu železového C 20/25</t>
  </si>
  <si>
    <t>Bednění ztužujících pásů a věnců - zřízení</t>
  </si>
  <si>
    <t>Bednění ztužujících pásů a věnců - odstranění</t>
  </si>
  <si>
    <t>Výztuž ztuž. pásů a věnců, ocel BSt 500 S</t>
  </si>
  <si>
    <t>Úpravy povrchů,podlahy a osazování výplní otvorů</t>
  </si>
  <si>
    <t>Omítka stěn tenkovrstvá silikonová bílá Cemix</t>
  </si>
  <si>
    <t>Úprava povrchů vnitřní</t>
  </si>
  <si>
    <t>Zakrývání výplní vnitřních otvorů</t>
  </si>
  <si>
    <t>Omítka vnitřní zdiva, MVC, hladká</t>
  </si>
  <si>
    <t>Omítka vnitřní zdiva, MVC, štuková</t>
  </si>
  <si>
    <t>Úprava povrchů vnější</t>
  </si>
  <si>
    <t>Zakrývání výplní vnějších otvorů z lešení</t>
  </si>
  <si>
    <t>Omítka vnější stěn, MVC, hladká, složitost 1-2</t>
  </si>
  <si>
    <t>Vyrovnávací vrstva MC šířky do 15 cm</t>
  </si>
  <si>
    <t>Podlahy a podlahové konstrukce</t>
  </si>
  <si>
    <t>Mazanina betonová tl. 5 - 8 cm C 16/20</t>
  </si>
  <si>
    <t>Okapový chodník podél budovy z kačírku tl. 100 mm</t>
  </si>
  <si>
    <t>Okapový chodník - textilie proti prorůstání 45g/m2</t>
  </si>
  <si>
    <t>Výplně otvorů</t>
  </si>
  <si>
    <t>Osazení zárubní dveřních ocelových, pl. do 2,5 m2</t>
  </si>
  <si>
    <t>Osazení parapetních desek dřevěných š. do 50 cm</t>
  </si>
  <si>
    <t>Přesun hmot pro budovy zděné výšky do 6 m</t>
  </si>
  <si>
    <t>Izolace proti vodě</t>
  </si>
  <si>
    <t>Izolace proti vlhkosti vodor. nátěr ALP za studena</t>
  </si>
  <si>
    <t>Izolace proti vlhk. vodorovná pásy přitavením</t>
  </si>
  <si>
    <t>Přesun hmot pro izolace proti vodě, výšky do 6 m</t>
  </si>
  <si>
    <t>Izolace střech (živičné krytiny)</t>
  </si>
  <si>
    <t>Povlaková krytina střech do 10°, NAIP přitavením</t>
  </si>
  <si>
    <t>Pás asfaltovaný těžký Bitubitagit PE V 60 S 35</t>
  </si>
  <si>
    <t>Pás asfaltovaný těžký Extrasklobit PE G 200 S 40</t>
  </si>
  <si>
    <t>Přesun hmot pro povlakové krytiny, výšky do 6 m</t>
  </si>
  <si>
    <t>Izolace tepelné</t>
  </si>
  <si>
    <t>Izolace tepelné stropů rovných spodem, drátem</t>
  </si>
  <si>
    <t>Montáž parozábrany, zavěšené podhl., přelep. spojů</t>
  </si>
  <si>
    <t>Izolace tepelná podlah na sucho, dvouvrstvá</t>
  </si>
  <si>
    <t>Položení separační fólie</t>
  </si>
  <si>
    <t>Deska POLYFON EPS T 3500 N/m2 tl. 50 mm</t>
  </si>
  <si>
    <t>Deska Rotaflex víceúčelová UNI - T tl. 200 mm</t>
  </si>
  <si>
    <t>Deska Rotaflex víceúčelová UNI - P tl.  60 mm</t>
  </si>
  <si>
    <t>Přesun hmot pro izolace tepelné, výšky do 6 m</t>
  </si>
  <si>
    <t>Vnitřní kanalizace</t>
  </si>
  <si>
    <t>Kanalizace vnitřní, PVC, D 125 mm, zemní práce</t>
  </si>
  <si>
    <t>Kanalizace vnitřní připojovací, PP, D 50x1,8 mm</t>
  </si>
  <si>
    <t>Vnitřní vodovod</t>
  </si>
  <si>
    <t>Vodovod, potrubí polyetylenové D 20 x 2mm, ochrana</t>
  </si>
  <si>
    <t>Zařizovací předměty</t>
  </si>
  <si>
    <t>Umyvadlo, baterie, zápachová uzávěrka</t>
  </si>
  <si>
    <t>Klozet kombi</t>
  </si>
  <si>
    <t>Demontáž klozetu včetně splachovací nádrže</t>
  </si>
  <si>
    <t>Demontáž umyvadla včetně baterie a konzol</t>
  </si>
  <si>
    <t>Konstrukce tesařské</t>
  </si>
  <si>
    <t>Profilování zhlaví trámů do 160 cm2</t>
  </si>
  <si>
    <t>Profilování zhlaví trámů do 320 cm2</t>
  </si>
  <si>
    <t>Hoblování viditelných částí krovu třístranné</t>
  </si>
  <si>
    <t>Zakrývání provizorní plachtou 12x15m,vč.odstranění</t>
  </si>
  <si>
    <t>Montáž kotevních želez, příložek, patek, táhel</t>
  </si>
  <si>
    <t>Montáž svorníků, šroubů délky 150 mm</t>
  </si>
  <si>
    <t>Montáž vázaných krovů pravidelných do 120 cm2</t>
  </si>
  <si>
    <t>Montáž vázaných krovů pravidelných do 224 cm2</t>
  </si>
  <si>
    <t>Demontáž laťování střech, rozteč latí do 22 cm</t>
  </si>
  <si>
    <t>Spojovací a ochranné prostředky pro střechy</t>
  </si>
  <si>
    <t>Demontáž dřevěného krovu</t>
  </si>
  <si>
    <t>Impregnace řeziva máčením Bochemit QB</t>
  </si>
  <si>
    <t>Řezivo - fošny, hranoly</t>
  </si>
  <si>
    <t>Přesun hmot pro tesařské konstrukce, výšky do 12 m</t>
  </si>
  <si>
    <t>Dřevostavby</t>
  </si>
  <si>
    <t>Bednění střech z desek do tl.18 mm, P+D,šroubo.</t>
  </si>
  <si>
    <t>Deska dřevoštěpková OSB 3 B - 4PD tl. 18 mm</t>
  </si>
  <si>
    <t>Přesun hmot pro dřevostavby, výšky do 12 m</t>
  </si>
  <si>
    <t>Konstrukce klempířské</t>
  </si>
  <si>
    <t>Oplechování okapů Al, živičná krytina, rš 330 mm</t>
  </si>
  <si>
    <t>Lemování zdí na plochých střechách Al, rš 330 mm</t>
  </si>
  <si>
    <t>Kotlík kónický z Al plechu pro trouby,D do 125 mm</t>
  </si>
  <si>
    <t>Závětrná lišta z Al plechu, rš 250 mm</t>
  </si>
  <si>
    <t>Oplechování parapetů včetně rohů Al, rš 250 mm</t>
  </si>
  <si>
    <t>Lindab žlab podokapní půlkruhový R,velikost 150 mm</t>
  </si>
  <si>
    <t>Lindab odpadní trouby kruhové SROR, D 100 mm</t>
  </si>
  <si>
    <t>Přesun hmot pro klempířské konstr., výšky do 6 m</t>
  </si>
  <si>
    <t>Krytina tvrdá</t>
  </si>
  <si>
    <t>Demontáž pálené krytiny</t>
  </si>
  <si>
    <t>Konstrukce truhlářské</t>
  </si>
  <si>
    <t>Montáž oken plastových plochy do 1,50 m2</t>
  </si>
  <si>
    <t>Montáž dveří do zárubně,otevíravých 1kř.do 0,8 m</t>
  </si>
  <si>
    <t>Montáž kliky a štítku</t>
  </si>
  <si>
    <t>Montáž vstupních dveří s vypěněním</t>
  </si>
  <si>
    <t>Dveřní kování PRAKTIK/S klíč Cr</t>
  </si>
  <si>
    <t>Dveře vchodové 900/2150</t>
  </si>
  <si>
    <t>Dveře vchod. plast. 1400/2100</t>
  </si>
  <si>
    <t>Okno plast. 60/60</t>
  </si>
  <si>
    <t>Sanitární příčka, 2x dveře</t>
  </si>
  <si>
    <t>Přesun hmot pro truhlářské konstr., výšky do 6 m</t>
  </si>
  <si>
    <t>Podlahy z dlaždic</t>
  </si>
  <si>
    <t>Penetrace podkladu pod dlažby</t>
  </si>
  <si>
    <t>Obklad soklíků rovných do tmele výšky do 100 mm</t>
  </si>
  <si>
    <t>Řezání dlaždic keramických pro soklíky</t>
  </si>
  <si>
    <t>Montáž podlah keram.,hladké, tmel, 30x30 cm</t>
  </si>
  <si>
    <t>Dlažba Taurus Granit matná 300x300x9 mm</t>
  </si>
  <si>
    <t>Přesun hmot pro podlahy z dlaždic, výšky do 6 m</t>
  </si>
  <si>
    <t>Podlahy povlakové</t>
  </si>
  <si>
    <t>Vyrovnání podkladů samonivelační hmotou</t>
  </si>
  <si>
    <t>Obklady (keramické)</t>
  </si>
  <si>
    <t>Penetrace podkladu pod obklady</t>
  </si>
  <si>
    <t>Obkládání stěn vnitř.keram. do tmele do 300x300 mm</t>
  </si>
  <si>
    <t>Obkládačka 20x20 světle béžová lesk</t>
  </si>
  <si>
    <t>Přesun hmot pro obklady keramické, výšky do 6 m</t>
  </si>
  <si>
    <t>Malby</t>
  </si>
  <si>
    <t>Penetrace podkladu univerzální Primalex 1x</t>
  </si>
  <si>
    <t>Malba tekutá Primalex Standard, barva, 2 x</t>
  </si>
  <si>
    <t>Malba latexová jednobarevná s bílým stropem</t>
  </si>
  <si>
    <t>Různé dokončovací konstrukce a práce inženýrských staveb</t>
  </si>
  <si>
    <t>Osazení přík.žlabu do C8/10 tl.10cm z tvárnic 80cm</t>
  </si>
  <si>
    <t>Lešení a stavební výtahy</t>
  </si>
  <si>
    <t>Montáž lešení leh.řad.s podlahami,š.do 1 m, H 10 m</t>
  </si>
  <si>
    <t>Demontáž lešení leh.řad.s podlahami,š.1 m, H 10 m</t>
  </si>
  <si>
    <t>Lešení lehké pomocné, výška podlahy do 1,2 m</t>
  </si>
  <si>
    <t>Různé dokončovací konstrukce a práce na pozemních stavbách</t>
  </si>
  <si>
    <t>Vyčištění budov o výšce podlaží do 4 m</t>
  </si>
  <si>
    <t>Demolice</t>
  </si>
  <si>
    <t>Demolice budov z cihel postupným rozebráním</t>
  </si>
  <si>
    <t>Doba výstavby:</t>
  </si>
  <si>
    <t>Začátek výstavby:</t>
  </si>
  <si>
    <t>Konec výstavby:</t>
  </si>
  <si>
    <t>Zpracováno dne:</t>
  </si>
  <si>
    <t>M.j.</t>
  </si>
  <si>
    <t>m3</t>
  </si>
  <si>
    <t>m</t>
  </si>
  <si>
    <t>m2</t>
  </si>
  <si>
    <t>t</t>
  </si>
  <si>
    <t>kus</t>
  </si>
  <si>
    <t>kpl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</si>
  <si>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</si>
  <si>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</si>
  <si>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</si>
  <si>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</si>
  <si>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</si>
  <si>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</si>
  <si>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</si>
  <si>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</si>
  <si>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</si>
  <si>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</si>
  <si>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</si>
  <si>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</si>
  <si>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</si>
  <si>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</si>
  <si>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</si>
  <si>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</si>
  <si>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</si>
  <si>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</si>
  <si>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</si>
  <si>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</si>
  <si>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</si>
  <si>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</si>
  <si>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</si>
  <si>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</si>
  <si>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</si>
  <si>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</si>
  <si>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</si>
  <si>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</si>
  <si>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</si>
  <si>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</si>
  <si>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19_</t>
  </si>
  <si>
    <t>21_</t>
  </si>
  <si>
    <t>27_</t>
  </si>
  <si>
    <t>31_</t>
  </si>
  <si>
    <t>34_</t>
  </si>
  <si>
    <t>41_</t>
  </si>
  <si>
    <t>6_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</si>
  <si>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</si>
  <si>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</si>
  <si>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</si>
  <si>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</si>
  <si>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</si>
  <si>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</si>
  <si>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</si>
  <si>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</si>
  <si>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</si>
  <si>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725_</t>
  </si>
  <si>
    <t>750VD_</t>
  </si>
  <si>
    <t>762_</t>
  </si>
  <si>
    <t>763_</t>
  </si>
  <si>
    <t>764_</t>
  </si>
  <si>
    <t>765_</t>
  </si>
  <si>
    <t>766_</t>
  </si>
  <si>
    <t>766VD_</t>
  </si>
  <si>
    <t>771_</t>
  </si>
  <si>
    <t>776_</t>
  </si>
  <si>
    <t>781_</t>
  </si>
  <si>
    <t>784_</t>
  </si>
  <si>
    <t>93_</t>
  </si>
  <si>
    <t>94_</t>
  </si>
  <si>
    <t>95_</t>
  </si>
  <si>
    <t>98_</t>
  </si>
  <si>
    <t>1_</t>
  </si>
  <si>
    <t>2_</t>
  </si>
  <si>
    <t>3_</t>
  </si>
  <si>
    <t>4_</t>
  </si>
  <si>
    <t>71_</t>
  </si>
  <si>
    <t>72_</t>
  </si>
  <si>
    <t>75_</t>
  </si>
  <si>
    <t>76_</t>
  </si>
  <si>
    <t>77_</t>
  </si>
  <si>
    <t>78_</t>
  </si>
  <si>
    <t>9_</t>
  </si>
  <si>
    <t>_</t>
  </si>
  <si>
    <t>Slepý stavební rozpočet - Jen skupiny</t>
  </si>
  <si>
    <t>Zemní práce</t>
  </si>
  <si>
    <t>Základy, zvláštní zakládání, zpevňování hornin</t>
  </si>
  <si>
    <t>Svislé a kompletní konstrukce</t>
  </si>
  <si>
    <t>Vodorovné konstrukce</t>
  </si>
  <si>
    <t>Úpravy povrchů a osazování výplní otvorů</t>
  </si>
  <si>
    <t>Izolace</t>
  </si>
  <si>
    <t>Zdravotně technické instalace</t>
  </si>
  <si>
    <t>Elektromontážní práce (slaboproud)</t>
  </si>
  <si>
    <t>Konstrukce</t>
  </si>
  <si>
    <t>Podlahy</t>
  </si>
  <si>
    <t>Dokončovací práce</t>
  </si>
  <si>
    <t>Dokončovací práce, demolice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</si>
  <si>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</si>
  <si>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</si>
  <si>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</si>
  <si>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</si>
  <si>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</si>
  <si>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</si>
  <si>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</si>
  <si>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</si>
  <si>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</si>
  <si>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</si>
  <si>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</si>
  <si>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</si>
  <si>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</si>
  <si>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</si>
  <si>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</si>
  <si>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</si>
  <si>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</si>
  <si>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</si>
  <si>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</si>
  <si>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</si>
  <si>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</si>
  <si>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</si>
  <si>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</si>
  <si>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</si>
  <si>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</si>
  <si>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</si>
  <si>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</si>
  <si>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</si>
  <si>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</si>
  <si>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</si>
  <si>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</si>
  <si>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</si>
  <si>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</si>
  <si>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</si>
  <si>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</si>
  <si>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</si>
  <si>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</si>
  <si>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</si>
  <si>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</si>
  <si>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</si>
  <si>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</si>
  <si>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</si>
  <si>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</si>
  <si>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</si>
  <si>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</si>
  <si>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</si>
  <si>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</si>
  <si>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Sychrov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</si>
</sst>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30" xfId="0" applyNumberFormat="1" applyFont="1" applyFill="1" applyBorder="1" applyAlignment="1" applyProtection="1">
      <alignment horizontal="center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0" borderId="30" xfId="0" applyNumberFormat="1" applyFont="1" applyFill="1" applyBorder="1" applyAlignment="1" applyProtection="1">
      <alignment horizontal="right" vertical="center"/>
      <protection/>
    </xf>
    <xf numFmtId="49" fontId="12" fillId="0" borderId="30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1" fillId="34" borderId="3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1" fillId="34" borderId="38" xfId="0" applyNumberFormat="1" applyFont="1" applyFill="1" applyBorder="1" applyAlignment="1" applyProtection="1">
      <alignment horizontal="left" vertical="center"/>
      <protection/>
    </xf>
    <xf numFmtId="0" fontId="11" fillId="34" borderId="51" xfId="0" applyNumberFormat="1" applyFont="1" applyFill="1" applyBorder="1" applyAlignment="1" applyProtection="1">
      <alignment horizontal="left" vertical="center"/>
      <protection/>
    </xf>
    <xf numFmtId="49" fontId="12" fillId="0" borderId="52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5"/>
  <sheetViews>
    <sheetView zoomScalePageLayoutView="0" workbookViewId="0" topLeftCell="A124">
      <selection activeCell="D2" sqref="D2:D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6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1</v>
      </c>
      <c r="B2" s="71"/>
      <c r="C2" s="71"/>
      <c r="D2" s="74" t="s">
        <v>552</v>
      </c>
      <c r="E2" s="76" t="s">
        <v>407</v>
      </c>
      <c r="F2" s="71"/>
      <c r="G2" s="76"/>
      <c r="H2" s="71"/>
      <c r="I2" s="77" t="s">
        <v>425</v>
      </c>
      <c r="J2" s="77"/>
      <c r="K2" s="71"/>
      <c r="L2" s="71"/>
      <c r="M2" s="78"/>
      <c r="N2" s="32"/>
    </row>
    <row r="3" spans="1:14" ht="12.75">
      <c r="A3" s="72"/>
      <c r="B3" s="73"/>
      <c r="C3" s="73"/>
      <c r="D3" s="75"/>
      <c r="E3" s="73"/>
      <c r="F3" s="73"/>
      <c r="G3" s="73"/>
      <c r="H3" s="73"/>
      <c r="I3" s="73"/>
      <c r="J3" s="73"/>
      <c r="K3" s="73"/>
      <c r="L3" s="73"/>
      <c r="M3" s="79"/>
      <c r="N3" s="32"/>
    </row>
    <row r="4" spans="1:14" ht="12.75">
      <c r="A4" s="80" t="s">
        <v>2</v>
      </c>
      <c r="B4" s="73"/>
      <c r="C4" s="73"/>
      <c r="D4" s="81" t="s">
        <v>256</v>
      </c>
      <c r="E4" s="82" t="s">
        <v>408</v>
      </c>
      <c r="F4" s="73"/>
      <c r="G4" s="83">
        <v>42506</v>
      </c>
      <c r="H4" s="73"/>
      <c r="I4" s="81" t="s">
        <v>426</v>
      </c>
      <c r="J4" s="81"/>
      <c r="K4" s="73"/>
      <c r="L4" s="73"/>
      <c r="M4" s="79"/>
      <c r="N4" s="32"/>
    </row>
    <row r="5" spans="1:14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9"/>
      <c r="N5" s="32"/>
    </row>
    <row r="6" spans="1:14" ht="12.75">
      <c r="A6" s="80" t="s">
        <v>3</v>
      </c>
      <c r="B6" s="73"/>
      <c r="C6" s="73"/>
      <c r="D6" s="81"/>
      <c r="E6" s="82" t="s">
        <v>409</v>
      </c>
      <c r="F6" s="73"/>
      <c r="G6" s="73"/>
      <c r="H6" s="73"/>
      <c r="I6" s="81" t="s">
        <v>427</v>
      </c>
      <c r="J6" s="81"/>
      <c r="K6" s="73"/>
      <c r="L6" s="73"/>
      <c r="M6" s="79"/>
      <c r="N6" s="32"/>
    </row>
    <row r="7" spans="1:14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9"/>
      <c r="N7" s="32"/>
    </row>
    <row r="8" spans="1:14" ht="12.75">
      <c r="A8" s="80" t="s">
        <v>4</v>
      </c>
      <c r="B8" s="73"/>
      <c r="C8" s="73"/>
      <c r="D8" s="81"/>
      <c r="E8" s="82" t="s">
        <v>410</v>
      </c>
      <c r="F8" s="73"/>
      <c r="G8" s="83">
        <v>42506</v>
      </c>
      <c r="H8" s="73"/>
      <c r="I8" s="81" t="s">
        <v>428</v>
      </c>
      <c r="J8" s="81"/>
      <c r="K8" s="73"/>
      <c r="L8" s="73"/>
      <c r="M8" s="79"/>
      <c r="N8" s="32"/>
    </row>
    <row r="9" spans="1:14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32"/>
    </row>
    <row r="10" spans="1:14" ht="12.75">
      <c r="A10" s="1" t="s">
        <v>5</v>
      </c>
      <c r="B10" s="10" t="s">
        <v>123</v>
      </c>
      <c r="C10" s="10" t="s">
        <v>124</v>
      </c>
      <c r="D10" s="10" t="s">
        <v>257</v>
      </c>
      <c r="E10" s="10" t="s">
        <v>411</v>
      </c>
      <c r="F10" s="16" t="s">
        <v>419</v>
      </c>
      <c r="G10" s="20" t="s">
        <v>420</v>
      </c>
      <c r="H10" s="87" t="s">
        <v>422</v>
      </c>
      <c r="I10" s="88"/>
      <c r="J10" s="89"/>
      <c r="K10" s="87" t="s">
        <v>431</v>
      </c>
      <c r="L10" s="89"/>
      <c r="M10" s="27" t="s">
        <v>432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258</v>
      </c>
      <c r="E11" s="11" t="s">
        <v>6</v>
      </c>
      <c r="F11" s="11" t="s">
        <v>6</v>
      </c>
      <c r="G11" s="21" t="s">
        <v>421</v>
      </c>
      <c r="H11" s="22" t="s">
        <v>423</v>
      </c>
      <c r="I11" s="23" t="s">
        <v>429</v>
      </c>
      <c r="J11" s="24" t="s">
        <v>430</v>
      </c>
      <c r="K11" s="22" t="s">
        <v>420</v>
      </c>
      <c r="L11" s="24" t="s">
        <v>430</v>
      </c>
      <c r="M11" s="28" t="s">
        <v>433</v>
      </c>
      <c r="N11" s="33"/>
      <c r="P11" s="26" t="s">
        <v>435</v>
      </c>
      <c r="Q11" s="26" t="s">
        <v>436</v>
      </c>
      <c r="R11" s="26" t="s">
        <v>437</v>
      </c>
      <c r="S11" s="26" t="s">
        <v>438</v>
      </c>
      <c r="T11" s="26" t="s">
        <v>439</v>
      </c>
      <c r="U11" s="26" t="s">
        <v>440</v>
      </c>
      <c r="V11" s="26" t="s">
        <v>441</v>
      </c>
      <c r="W11" s="26" t="s">
        <v>442</v>
      </c>
      <c r="X11" s="26" t="s">
        <v>443</v>
      </c>
    </row>
    <row r="12" spans="1:37" ht="12.75">
      <c r="A12" s="3"/>
      <c r="B12" s="12"/>
      <c r="C12" s="12" t="s">
        <v>18</v>
      </c>
      <c r="D12" s="90" t="s">
        <v>259</v>
      </c>
      <c r="E12" s="91"/>
      <c r="F12" s="91"/>
      <c r="G12" s="91"/>
      <c r="H12" s="36">
        <f>SUM(H13:H13)</f>
        <v>0</v>
      </c>
      <c r="I12" s="36">
        <f>SUM(I13:I13)</f>
        <v>0</v>
      </c>
      <c r="J12" s="36">
        <f>H12+I12</f>
        <v>0</v>
      </c>
      <c r="K12" s="25"/>
      <c r="L12" s="36">
        <f>SUM(L13:L13)</f>
        <v>0</v>
      </c>
      <c r="M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4" t="s">
        <v>7</v>
      </c>
      <c r="B13" s="4"/>
      <c r="C13" s="4" t="s">
        <v>125</v>
      </c>
      <c r="D13" s="4" t="s">
        <v>260</v>
      </c>
      <c r="E13" s="4" t="s">
        <v>412</v>
      </c>
      <c r="F13" s="17">
        <v>3</v>
      </c>
      <c r="G13" s="17">
        <v>0</v>
      </c>
      <c r="H13" s="17">
        <f>F13*AE13</f>
        <v>0</v>
      </c>
      <c r="I13" s="17">
        <f>J13-H13</f>
        <v>0</v>
      </c>
      <c r="J13" s="17">
        <f>F13*G13</f>
        <v>0</v>
      </c>
      <c r="K13" s="17">
        <v>0</v>
      </c>
      <c r="L13" s="17">
        <f>F13*K13</f>
        <v>0</v>
      </c>
      <c r="M13" s="29" t="s">
        <v>434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</f>
        <v>0</v>
      </c>
      <c r="AF13" s="34">
        <f>G13*(1-0)</f>
        <v>0</v>
      </c>
      <c r="AG13" s="29" t="s">
        <v>7</v>
      </c>
      <c r="AM13" s="34">
        <f>F13*AE13</f>
        <v>0</v>
      </c>
      <c r="AN13" s="34">
        <f>F13*AF13</f>
        <v>0</v>
      </c>
      <c r="AO13" s="35" t="s">
        <v>444</v>
      </c>
      <c r="AP13" s="35" t="s">
        <v>480</v>
      </c>
      <c r="AQ13" s="26" t="s">
        <v>491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</v>
      </c>
    </row>
    <row r="14" spans="1:37" ht="12.75">
      <c r="A14" s="5"/>
      <c r="B14" s="13"/>
      <c r="C14" s="13" t="s">
        <v>19</v>
      </c>
      <c r="D14" s="92" t="s">
        <v>261</v>
      </c>
      <c r="E14" s="93"/>
      <c r="F14" s="93"/>
      <c r="G14" s="93"/>
      <c r="H14" s="37">
        <f>SUM(H15:H16)</f>
        <v>0</v>
      </c>
      <c r="I14" s="37">
        <f>SUM(I15:I16)</f>
        <v>0</v>
      </c>
      <c r="J14" s="37">
        <f>H14+I14</f>
        <v>0</v>
      </c>
      <c r="K14" s="26"/>
      <c r="L14" s="37">
        <f>SUM(L15:L16)</f>
        <v>0</v>
      </c>
      <c r="M14" s="26"/>
      <c r="Y14" s="26"/>
      <c r="AI14" s="37">
        <f>SUM(Z15:Z16)</f>
        <v>0</v>
      </c>
      <c r="AJ14" s="37">
        <f>SUM(AA15:AA16)</f>
        <v>0</v>
      </c>
      <c r="AK14" s="37">
        <f>SUM(AB15:AB16)</f>
        <v>0</v>
      </c>
    </row>
    <row r="15" spans="1:48" ht="12.75">
      <c r="A15" s="4" t="s">
        <v>8</v>
      </c>
      <c r="B15" s="4"/>
      <c r="C15" s="4" t="s">
        <v>126</v>
      </c>
      <c r="D15" s="4" t="s">
        <v>262</v>
      </c>
      <c r="E15" s="4" t="s">
        <v>412</v>
      </c>
      <c r="F15" s="17">
        <v>9.37</v>
      </c>
      <c r="G15" s="17">
        <v>0</v>
      </c>
      <c r="H15" s="17">
        <f>F15*AE15</f>
        <v>0</v>
      </c>
      <c r="I15" s="17">
        <f>J15-H15</f>
        <v>0</v>
      </c>
      <c r="J15" s="17">
        <f>F15*G15</f>
        <v>0</v>
      </c>
      <c r="K15" s="17">
        <v>0</v>
      </c>
      <c r="L15" s="17">
        <f>F15*K15</f>
        <v>0</v>
      </c>
      <c r="M15" s="29" t="s">
        <v>434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21</v>
      </c>
      <c r="AE15" s="34">
        <f>G15*0</f>
        <v>0</v>
      </c>
      <c r="AF15" s="34">
        <f>G15*(1-0)</f>
        <v>0</v>
      </c>
      <c r="AG15" s="29" t="s">
        <v>7</v>
      </c>
      <c r="AM15" s="34">
        <f>F15*AE15</f>
        <v>0</v>
      </c>
      <c r="AN15" s="34">
        <f>F15*AF15</f>
        <v>0</v>
      </c>
      <c r="AO15" s="35" t="s">
        <v>445</v>
      </c>
      <c r="AP15" s="35" t="s">
        <v>480</v>
      </c>
      <c r="AQ15" s="26" t="s">
        <v>491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0</v>
      </c>
    </row>
    <row r="16" spans="1:48" ht="12.75">
      <c r="A16" s="4" t="s">
        <v>9</v>
      </c>
      <c r="B16" s="4"/>
      <c r="C16" s="4" t="s">
        <v>127</v>
      </c>
      <c r="D16" s="4" t="s">
        <v>263</v>
      </c>
      <c r="E16" s="4" t="s">
        <v>412</v>
      </c>
      <c r="F16" s="17">
        <v>9.37</v>
      </c>
      <c r="G16" s="17">
        <v>0</v>
      </c>
      <c r="H16" s="17">
        <f>F16*AE16</f>
        <v>0</v>
      </c>
      <c r="I16" s="17">
        <f>J16-H16</f>
        <v>0</v>
      </c>
      <c r="J16" s="17">
        <f>F16*G16</f>
        <v>0</v>
      </c>
      <c r="K16" s="17">
        <v>0</v>
      </c>
      <c r="L16" s="17">
        <f>F16*K16</f>
        <v>0</v>
      </c>
      <c r="M16" s="29" t="s">
        <v>434</v>
      </c>
      <c r="P16" s="34">
        <f>IF(AG16="5",J16,0)</f>
        <v>0</v>
      </c>
      <c r="R16" s="34">
        <f>IF(AG16="1",H16,0)</f>
        <v>0</v>
      </c>
      <c r="S16" s="34">
        <f>IF(AG16="1",I16,0)</f>
        <v>0</v>
      </c>
      <c r="T16" s="34">
        <f>IF(AG16="7",H16,0)</f>
        <v>0</v>
      </c>
      <c r="U16" s="34">
        <f>IF(AG16="7",I16,0)</f>
        <v>0</v>
      </c>
      <c r="V16" s="34">
        <f>IF(AG16="2",H16,0)</f>
        <v>0</v>
      </c>
      <c r="W16" s="34">
        <f>IF(AG16="2",I16,0)</f>
        <v>0</v>
      </c>
      <c r="X16" s="34">
        <f>IF(AG16="0",J16,0)</f>
        <v>0</v>
      </c>
      <c r="Y16" s="26"/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4">
        <v>21</v>
      </c>
      <c r="AE16" s="34">
        <f>G16*0</f>
        <v>0</v>
      </c>
      <c r="AF16" s="34">
        <f>G16*(1-0)</f>
        <v>0</v>
      </c>
      <c r="AG16" s="29" t="s">
        <v>7</v>
      </c>
      <c r="AM16" s="34">
        <f>F16*AE16</f>
        <v>0</v>
      </c>
      <c r="AN16" s="34">
        <f>F16*AF16</f>
        <v>0</v>
      </c>
      <c r="AO16" s="35" t="s">
        <v>445</v>
      </c>
      <c r="AP16" s="35" t="s">
        <v>480</v>
      </c>
      <c r="AQ16" s="26" t="s">
        <v>491</v>
      </c>
      <c r="AS16" s="34">
        <f>AM16+AN16</f>
        <v>0</v>
      </c>
      <c r="AT16" s="34">
        <f>G16/(100-AU16)*100</f>
        <v>0</v>
      </c>
      <c r="AU16" s="34">
        <v>0</v>
      </c>
      <c r="AV16" s="34">
        <f>L16</f>
        <v>0</v>
      </c>
    </row>
    <row r="17" spans="1:37" ht="12.75">
      <c r="A17" s="5"/>
      <c r="B17" s="13"/>
      <c r="C17" s="13" t="s">
        <v>22</v>
      </c>
      <c r="D17" s="92" t="s">
        <v>264</v>
      </c>
      <c r="E17" s="93"/>
      <c r="F17" s="93"/>
      <c r="G17" s="93"/>
      <c r="H17" s="37">
        <f>SUM(H18:H18)</f>
        <v>0</v>
      </c>
      <c r="I17" s="37">
        <f>SUM(I18:I18)</f>
        <v>0</v>
      </c>
      <c r="J17" s="37">
        <f>H17+I17</f>
        <v>0</v>
      </c>
      <c r="K17" s="26"/>
      <c r="L17" s="37">
        <f>SUM(L18:L18)</f>
        <v>0</v>
      </c>
      <c r="M17" s="26"/>
      <c r="Y17" s="26"/>
      <c r="AI17" s="37">
        <f>SUM(Z18:Z18)</f>
        <v>0</v>
      </c>
      <c r="AJ17" s="37">
        <f>SUM(AA18:AA18)</f>
        <v>0</v>
      </c>
      <c r="AK17" s="37">
        <f>SUM(AB18:AB18)</f>
        <v>0</v>
      </c>
    </row>
    <row r="18" spans="1:48" ht="12.75">
      <c r="A18" s="4" t="s">
        <v>10</v>
      </c>
      <c r="B18" s="4"/>
      <c r="C18" s="4" t="s">
        <v>128</v>
      </c>
      <c r="D18" s="4" t="s">
        <v>265</v>
      </c>
      <c r="E18" s="4" t="s">
        <v>412</v>
      </c>
      <c r="F18" s="17">
        <v>12.37</v>
      </c>
      <c r="G18" s="17">
        <v>0</v>
      </c>
      <c r="H18" s="17">
        <f>F18*AE18</f>
        <v>0</v>
      </c>
      <c r="I18" s="17">
        <f>J18-H18</f>
        <v>0</v>
      </c>
      <c r="J18" s="17">
        <f>F18*G18</f>
        <v>0</v>
      </c>
      <c r="K18" s="17">
        <v>0</v>
      </c>
      <c r="L18" s="17">
        <f>F18*K18</f>
        <v>0</v>
      </c>
      <c r="M18" s="29" t="s">
        <v>434</v>
      </c>
      <c r="P18" s="34">
        <f>IF(AG18="5",J18,0)</f>
        <v>0</v>
      </c>
      <c r="R18" s="34">
        <f>IF(AG18="1",H18,0)</f>
        <v>0</v>
      </c>
      <c r="S18" s="34">
        <f>IF(AG18="1",I18,0)</f>
        <v>0</v>
      </c>
      <c r="T18" s="34">
        <f>IF(AG18="7",H18,0)</f>
        <v>0</v>
      </c>
      <c r="U18" s="34">
        <f>IF(AG18="7",I18,0)</f>
        <v>0</v>
      </c>
      <c r="V18" s="34">
        <f>IF(AG18="2",H18,0)</f>
        <v>0</v>
      </c>
      <c r="W18" s="34">
        <f>IF(AG18="2",I18,0)</f>
        <v>0</v>
      </c>
      <c r="X18" s="34">
        <f>IF(AG18="0",J18,0)</f>
        <v>0</v>
      </c>
      <c r="Y18" s="26"/>
      <c r="Z18" s="17">
        <f>IF(AD18=0,J18,0)</f>
        <v>0</v>
      </c>
      <c r="AA18" s="17">
        <f>IF(AD18=15,J18,0)</f>
        <v>0</v>
      </c>
      <c r="AB18" s="17">
        <f>IF(AD18=21,J18,0)</f>
        <v>0</v>
      </c>
      <c r="AD18" s="34">
        <v>21</v>
      </c>
      <c r="AE18" s="34">
        <f>G18*0</f>
        <v>0</v>
      </c>
      <c r="AF18" s="34">
        <f>G18*(1-0)</f>
        <v>0</v>
      </c>
      <c r="AG18" s="29" t="s">
        <v>7</v>
      </c>
      <c r="AM18" s="34">
        <f>F18*AE18</f>
        <v>0</v>
      </c>
      <c r="AN18" s="34">
        <f>F18*AF18</f>
        <v>0</v>
      </c>
      <c r="AO18" s="35" t="s">
        <v>446</v>
      </c>
      <c r="AP18" s="35" t="s">
        <v>480</v>
      </c>
      <c r="AQ18" s="26" t="s">
        <v>491</v>
      </c>
      <c r="AS18" s="34">
        <f>AM18+AN18</f>
        <v>0</v>
      </c>
      <c r="AT18" s="34">
        <f>G18/(100-AU18)*100</f>
        <v>0</v>
      </c>
      <c r="AU18" s="34">
        <v>0</v>
      </c>
      <c r="AV18" s="34">
        <f>L18</f>
        <v>0</v>
      </c>
    </row>
    <row r="19" spans="1:37" ht="12.75">
      <c r="A19" s="5"/>
      <c r="B19" s="13"/>
      <c r="C19" s="13" t="s">
        <v>23</v>
      </c>
      <c r="D19" s="92" t="s">
        <v>266</v>
      </c>
      <c r="E19" s="93"/>
      <c r="F19" s="93"/>
      <c r="G19" s="93"/>
      <c r="H19" s="37">
        <f>SUM(H20:H20)</f>
        <v>0</v>
      </c>
      <c r="I19" s="37">
        <f>SUM(I20:I20)</f>
        <v>0</v>
      </c>
      <c r="J19" s="37">
        <f>H19+I19</f>
        <v>0</v>
      </c>
      <c r="K19" s="26"/>
      <c r="L19" s="37">
        <f>SUM(L20:L20)</f>
        <v>0</v>
      </c>
      <c r="M19" s="26"/>
      <c r="Y19" s="26"/>
      <c r="AI19" s="37">
        <f>SUM(Z20:Z20)</f>
        <v>0</v>
      </c>
      <c r="AJ19" s="37">
        <f>SUM(AA20:AA20)</f>
        <v>0</v>
      </c>
      <c r="AK19" s="37">
        <f>SUM(AB20:AB20)</f>
        <v>0</v>
      </c>
    </row>
    <row r="20" spans="1:48" ht="12.75">
      <c r="A20" s="4" t="s">
        <v>11</v>
      </c>
      <c r="B20" s="4"/>
      <c r="C20" s="4" t="s">
        <v>129</v>
      </c>
      <c r="D20" s="4" t="s">
        <v>267</v>
      </c>
      <c r="E20" s="4" t="s">
        <v>412</v>
      </c>
      <c r="F20" s="17">
        <v>12.37</v>
      </c>
      <c r="G20" s="17">
        <v>0</v>
      </c>
      <c r="H20" s="17">
        <f>F20*AE20</f>
        <v>0</v>
      </c>
      <c r="I20" s="17">
        <f>J20-H20</f>
        <v>0</v>
      </c>
      <c r="J20" s="17">
        <f>F20*G20</f>
        <v>0</v>
      </c>
      <c r="K20" s="17">
        <v>0</v>
      </c>
      <c r="L20" s="17">
        <f>F20*K20</f>
        <v>0</v>
      </c>
      <c r="M20" s="29" t="s">
        <v>434</v>
      </c>
      <c r="P20" s="34">
        <f>IF(AG20="5",J20,0)</f>
        <v>0</v>
      </c>
      <c r="R20" s="34">
        <f>IF(AG20="1",H20,0)</f>
        <v>0</v>
      </c>
      <c r="S20" s="34">
        <f>IF(AG20="1",I20,0)</f>
        <v>0</v>
      </c>
      <c r="T20" s="34">
        <f>IF(AG20="7",H20,0)</f>
        <v>0</v>
      </c>
      <c r="U20" s="34">
        <f>IF(AG20="7",I20,0)</f>
        <v>0</v>
      </c>
      <c r="V20" s="34">
        <f>IF(AG20="2",H20,0)</f>
        <v>0</v>
      </c>
      <c r="W20" s="34">
        <f>IF(AG20="2",I20,0)</f>
        <v>0</v>
      </c>
      <c r="X20" s="34">
        <f>IF(AG20="0",J20,0)</f>
        <v>0</v>
      </c>
      <c r="Y20" s="26"/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21</v>
      </c>
      <c r="AE20" s="34">
        <f>G20*0</f>
        <v>0</v>
      </c>
      <c r="AF20" s="34">
        <f>G20*(1-0)</f>
        <v>0</v>
      </c>
      <c r="AG20" s="29" t="s">
        <v>7</v>
      </c>
      <c r="AM20" s="34">
        <f>F20*AE20</f>
        <v>0</v>
      </c>
      <c r="AN20" s="34">
        <f>F20*AF20</f>
        <v>0</v>
      </c>
      <c r="AO20" s="35" t="s">
        <v>447</v>
      </c>
      <c r="AP20" s="35" t="s">
        <v>480</v>
      </c>
      <c r="AQ20" s="26" t="s">
        <v>491</v>
      </c>
      <c r="AS20" s="34">
        <f>AM20+AN20</f>
        <v>0</v>
      </c>
      <c r="AT20" s="34">
        <f>G20/(100-AU20)*100</f>
        <v>0</v>
      </c>
      <c r="AU20" s="34">
        <v>0</v>
      </c>
      <c r="AV20" s="34">
        <f>L20</f>
        <v>0</v>
      </c>
    </row>
    <row r="21" spans="1:37" ht="12.75">
      <c r="A21" s="5"/>
      <c r="B21" s="13"/>
      <c r="C21" s="13" t="s">
        <v>25</v>
      </c>
      <c r="D21" s="92" t="s">
        <v>268</v>
      </c>
      <c r="E21" s="93"/>
      <c r="F21" s="93"/>
      <c r="G21" s="93"/>
      <c r="H21" s="37">
        <f>SUM(H22:H22)</f>
        <v>0</v>
      </c>
      <c r="I21" s="37">
        <f>SUM(I22:I22)</f>
        <v>0</v>
      </c>
      <c r="J21" s="37">
        <f>H21+I21</f>
        <v>0</v>
      </c>
      <c r="K21" s="26"/>
      <c r="L21" s="37">
        <f>SUM(L22:L22)</f>
        <v>0</v>
      </c>
      <c r="M21" s="26"/>
      <c r="Y21" s="26"/>
      <c r="AI21" s="37">
        <f>SUM(Z22:Z22)</f>
        <v>0</v>
      </c>
      <c r="AJ21" s="37">
        <f>SUM(AA22:AA22)</f>
        <v>0</v>
      </c>
      <c r="AK21" s="37">
        <f>SUM(AB22:AB22)</f>
        <v>0</v>
      </c>
    </row>
    <row r="22" spans="1:48" ht="12.75">
      <c r="A22" s="4" t="s">
        <v>12</v>
      </c>
      <c r="B22" s="4"/>
      <c r="C22" s="4" t="s">
        <v>130</v>
      </c>
      <c r="D22" s="4" t="s">
        <v>269</v>
      </c>
      <c r="E22" s="4" t="s">
        <v>412</v>
      </c>
      <c r="F22" s="17">
        <v>12.37</v>
      </c>
      <c r="G22" s="17">
        <v>0</v>
      </c>
      <c r="H22" s="17">
        <f>F22*AE22</f>
        <v>0</v>
      </c>
      <c r="I22" s="17">
        <f>J22-H22</f>
        <v>0</v>
      </c>
      <c r="J22" s="17">
        <f>F22*G22</f>
        <v>0</v>
      </c>
      <c r="K22" s="17">
        <v>0</v>
      </c>
      <c r="L22" s="17">
        <f>F22*K22</f>
        <v>0</v>
      </c>
      <c r="M22" s="29" t="s">
        <v>434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21</v>
      </c>
      <c r="AE22" s="34">
        <f>G22*0</f>
        <v>0</v>
      </c>
      <c r="AF22" s="34">
        <f>G22*(1-0)</f>
        <v>0</v>
      </c>
      <c r="AG22" s="29" t="s">
        <v>7</v>
      </c>
      <c r="AM22" s="34">
        <f>F22*AE22</f>
        <v>0</v>
      </c>
      <c r="AN22" s="34">
        <f>F22*AF22</f>
        <v>0</v>
      </c>
      <c r="AO22" s="35" t="s">
        <v>448</v>
      </c>
      <c r="AP22" s="35" t="s">
        <v>480</v>
      </c>
      <c r="AQ22" s="26" t="s">
        <v>491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0</v>
      </c>
    </row>
    <row r="23" spans="1:37" ht="12.75">
      <c r="A23" s="5"/>
      <c r="B23" s="13"/>
      <c r="C23" s="13" t="s">
        <v>27</v>
      </c>
      <c r="D23" s="92" t="s">
        <v>270</v>
      </c>
      <c r="E23" s="93"/>
      <c r="F23" s="93"/>
      <c r="G23" s="93"/>
      <c r="H23" s="37">
        <f>SUM(H24:H26)</f>
        <v>0</v>
      </c>
      <c r="I23" s="37">
        <f>SUM(I24:I26)</f>
        <v>0</v>
      </c>
      <c r="J23" s="37">
        <f>H23+I23</f>
        <v>0</v>
      </c>
      <c r="K23" s="26"/>
      <c r="L23" s="37">
        <f>SUM(L24:L26)</f>
        <v>2.8087039999999996</v>
      </c>
      <c r="M23" s="26"/>
      <c r="Y23" s="26"/>
      <c r="AI23" s="37">
        <f>SUM(Z24:Z26)</f>
        <v>0</v>
      </c>
      <c r="AJ23" s="37">
        <f>SUM(AA24:AA26)</f>
        <v>0</v>
      </c>
      <c r="AK23" s="37">
        <f>SUM(AB24:AB26)</f>
        <v>0</v>
      </c>
    </row>
    <row r="24" spans="1:48" ht="12.75">
      <c r="A24" s="4" t="s">
        <v>13</v>
      </c>
      <c r="B24" s="4"/>
      <c r="C24" s="4" t="s">
        <v>131</v>
      </c>
      <c r="D24" s="4" t="s">
        <v>271</v>
      </c>
      <c r="E24" s="4" t="s">
        <v>413</v>
      </c>
      <c r="F24" s="17">
        <v>12</v>
      </c>
      <c r="G24" s="17">
        <v>0</v>
      </c>
      <c r="H24" s="17">
        <f>F24*AE24</f>
        <v>0</v>
      </c>
      <c r="I24" s="17">
        <f>J24-H24</f>
        <v>0</v>
      </c>
      <c r="J24" s="17">
        <f>F24*G24</f>
        <v>0</v>
      </c>
      <c r="K24" s="17">
        <v>0.23382</v>
      </c>
      <c r="L24" s="17">
        <f>F24*K24</f>
        <v>2.80584</v>
      </c>
      <c r="M24" s="29" t="s">
        <v>434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21</v>
      </c>
      <c r="AE24" s="34">
        <f>G24*0.728865435356201</f>
        <v>0</v>
      </c>
      <c r="AF24" s="34">
        <f>G24*(1-0.728865435356201)</f>
        <v>0</v>
      </c>
      <c r="AG24" s="29" t="s">
        <v>7</v>
      </c>
      <c r="AM24" s="34">
        <f>F24*AE24</f>
        <v>0</v>
      </c>
      <c r="AN24" s="34">
        <f>F24*AF24</f>
        <v>0</v>
      </c>
      <c r="AO24" s="35" t="s">
        <v>449</v>
      </c>
      <c r="AP24" s="35" t="s">
        <v>481</v>
      </c>
      <c r="AQ24" s="26" t="s">
        <v>491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2.80584</v>
      </c>
    </row>
    <row r="25" spans="1:48" ht="12.75">
      <c r="A25" s="4" t="s">
        <v>14</v>
      </c>
      <c r="B25" s="4"/>
      <c r="C25" s="4" t="s">
        <v>132</v>
      </c>
      <c r="D25" s="4" t="s">
        <v>272</v>
      </c>
      <c r="E25" s="4" t="s">
        <v>414</v>
      </c>
      <c r="F25" s="17">
        <v>4.8</v>
      </c>
      <c r="G25" s="17">
        <v>0</v>
      </c>
      <c r="H25" s="17">
        <f>F25*AE25</f>
        <v>0</v>
      </c>
      <c r="I25" s="17">
        <f>J25-H25</f>
        <v>0</v>
      </c>
      <c r="J25" s="17">
        <f>F25*G25</f>
        <v>0</v>
      </c>
      <c r="K25" s="17">
        <v>0.00018</v>
      </c>
      <c r="L25" s="17">
        <f>F25*K25</f>
        <v>0.0008640000000000001</v>
      </c>
      <c r="M25" s="29" t="s">
        <v>434</v>
      </c>
      <c r="P25" s="34">
        <f>IF(AG25="5",J25,0)</f>
        <v>0</v>
      </c>
      <c r="R25" s="34">
        <f>IF(AG25="1",H25,0)</f>
        <v>0</v>
      </c>
      <c r="S25" s="34">
        <f>IF(AG25="1",I25,0)</f>
        <v>0</v>
      </c>
      <c r="T25" s="34">
        <f>IF(AG25="7",H25,0)</f>
        <v>0</v>
      </c>
      <c r="U25" s="34">
        <f>IF(AG25="7",I25,0)</f>
        <v>0</v>
      </c>
      <c r="V25" s="34">
        <f>IF(AG25="2",H25,0)</f>
        <v>0</v>
      </c>
      <c r="W25" s="34">
        <f>IF(AG25="2",I25,0)</f>
        <v>0</v>
      </c>
      <c r="X25" s="34">
        <f>IF(AG25="0",J25,0)</f>
        <v>0</v>
      </c>
      <c r="Y25" s="26"/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4">
        <v>21</v>
      </c>
      <c r="AE25" s="34">
        <f>G25*0.127747822480299</f>
        <v>0</v>
      </c>
      <c r="AF25" s="34">
        <f>G25*(1-0.127747822480299)</f>
        <v>0</v>
      </c>
      <c r="AG25" s="29" t="s">
        <v>7</v>
      </c>
      <c r="AM25" s="34">
        <f>F25*AE25</f>
        <v>0</v>
      </c>
      <c r="AN25" s="34">
        <f>F25*AF25</f>
        <v>0</v>
      </c>
      <c r="AO25" s="35" t="s">
        <v>449</v>
      </c>
      <c r="AP25" s="35" t="s">
        <v>481</v>
      </c>
      <c r="AQ25" s="26" t="s">
        <v>491</v>
      </c>
      <c r="AS25" s="34">
        <f>AM25+AN25</f>
        <v>0</v>
      </c>
      <c r="AT25" s="34">
        <f>G25/(100-AU25)*100</f>
        <v>0</v>
      </c>
      <c r="AU25" s="34">
        <v>0</v>
      </c>
      <c r="AV25" s="34">
        <f>L25</f>
        <v>0.0008640000000000001</v>
      </c>
    </row>
    <row r="26" spans="1:48" ht="12.75">
      <c r="A26" s="6" t="s">
        <v>15</v>
      </c>
      <c r="B26" s="6"/>
      <c r="C26" s="6" t="s">
        <v>133</v>
      </c>
      <c r="D26" s="6" t="s">
        <v>273</v>
      </c>
      <c r="E26" s="6" t="s">
        <v>414</v>
      </c>
      <c r="F26" s="18">
        <v>5</v>
      </c>
      <c r="G26" s="18">
        <v>0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0.0004</v>
      </c>
      <c r="L26" s="18">
        <f>F26*K26</f>
        <v>0.002</v>
      </c>
      <c r="M26" s="30" t="s">
        <v>434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4">
        <v>21</v>
      </c>
      <c r="AE26" s="34">
        <f>G26*1</f>
        <v>0</v>
      </c>
      <c r="AF26" s="34">
        <f>G26*(1-1)</f>
        <v>0</v>
      </c>
      <c r="AG26" s="30" t="s">
        <v>7</v>
      </c>
      <c r="AM26" s="34">
        <f>F26*AE26</f>
        <v>0</v>
      </c>
      <c r="AN26" s="34">
        <f>F26*AF26</f>
        <v>0</v>
      </c>
      <c r="AO26" s="35" t="s">
        <v>449</v>
      </c>
      <c r="AP26" s="35" t="s">
        <v>481</v>
      </c>
      <c r="AQ26" s="26" t="s">
        <v>491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0.002</v>
      </c>
    </row>
    <row r="27" spans="1:37" ht="12.75">
      <c r="A27" s="5"/>
      <c r="B27" s="13"/>
      <c r="C27" s="13" t="s">
        <v>33</v>
      </c>
      <c r="D27" s="92" t="s">
        <v>274</v>
      </c>
      <c r="E27" s="93"/>
      <c r="F27" s="93"/>
      <c r="G27" s="93"/>
      <c r="H27" s="37">
        <f>SUM(H28:H33)</f>
        <v>0</v>
      </c>
      <c r="I27" s="37">
        <f>SUM(I28:I33)</f>
        <v>0</v>
      </c>
      <c r="J27" s="37">
        <f>H27+I27</f>
        <v>0</v>
      </c>
      <c r="K27" s="26"/>
      <c r="L27" s="37">
        <f>SUM(L28:L33)</f>
        <v>44.9770244</v>
      </c>
      <c r="M27" s="26"/>
      <c r="Y27" s="26"/>
      <c r="AI27" s="37">
        <f>SUM(Z28:Z33)</f>
        <v>0</v>
      </c>
      <c r="AJ27" s="37">
        <f>SUM(AA28:AA33)</f>
        <v>0</v>
      </c>
      <c r="AK27" s="37">
        <f>SUM(AB28:AB33)</f>
        <v>0</v>
      </c>
    </row>
    <row r="28" spans="1:48" ht="12.75">
      <c r="A28" s="4" t="s">
        <v>16</v>
      </c>
      <c r="B28" s="4"/>
      <c r="C28" s="4" t="s">
        <v>134</v>
      </c>
      <c r="D28" s="4" t="s">
        <v>275</v>
      </c>
      <c r="E28" s="4" t="s">
        <v>412</v>
      </c>
      <c r="F28" s="17">
        <v>6.83</v>
      </c>
      <c r="G28" s="17">
        <v>0</v>
      </c>
      <c r="H28" s="17">
        <f aca="true" t="shared" si="0" ref="H28:H33">F28*AE28</f>
        <v>0</v>
      </c>
      <c r="I28" s="17">
        <f aca="true" t="shared" si="1" ref="I28:I33">J28-H28</f>
        <v>0</v>
      </c>
      <c r="J28" s="17">
        <f aca="true" t="shared" si="2" ref="J28:J33">F28*G28</f>
        <v>0</v>
      </c>
      <c r="K28" s="17">
        <v>2.525</v>
      </c>
      <c r="L28" s="17">
        <f aca="true" t="shared" si="3" ref="L28:L33">F28*K28</f>
        <v>17.24575</v>
      </c>
      <c r="M28" s="29" t="s">
        <v>434</v>
      </c>
      <c r="P28" s="34">
        <f aca="true" t="shared" si="4" ref="P28:P33">IF(AG28="5",J28,0)</f>
        <v>0</v>
      </c>
      <c r="R28" s="34">
        <f aca="true" t="shared" si="5" ref="R28:R33">IF(AG28="1",H28,0)</f>
        <v>0</v>
      </c>
      <c r="S28" s="34">
        <f aca="true" t="shared" si="6" ref="S28:S33">IF(AG28="1",I28,0)</f>
        <v>0</v>
      </c>
      <c r="T28" s="34">
        <f aca="true" t="shared" si="7" ref="T28:T33">IF(AG28="7",H28,0)</f>
        <v>0</v>
      </c>
      <c r="U28" s="34">
        <f aca="true" t="shared" si="8" ref="U28:U33">IF(AG28="7",I28,0)</f>
        <v>0</v>
      </c>
      <c r="V28" s="34">
        <f aca="true" t="shared" si="9" ref="V28:V33">IF(AG28="2",H28,0)</f>
        <v>0</v>
      </c>
      <c r="W28" s="34">
        <f aca="true" t="shared" si="10" ref="W28:W33">IF(AG28="2",I28,0)</f>
        <v>0</v>
      </c>
      <c r="X28" s="34">
        <f aca="true" t="shared" si="11" ref="X28:X33">IF(AG28="0",J28,0)</f>
        <v>0</v>
      </c>
      <c r="Y28" s="26"/>
      <c r="Z28" s="17">
        <f aca="true" t="shared" si="12" ref="Z28:Z33">IF(AD28=0,J28,0)</f>
        <v>0</v>
      </c>
      <c r="AA28" s="17">
        <f aca="true" t="shared" si="13" ref="AA28:AA33">IF(AD28=15,J28,0)</f>
        <v>0</v>
      </c>
      <c r="AB28" s="17">
        <f aca="true" t="shared" si="14" ref="AB28:AB33">IF(AD28=21,J28,0)</f>
        <v>0</v>
      </c>
      <c r="AD28" s="34">
        <v>21</v>
      </c>
      <c r="AE28" s="34">
        <f>G28*0.90606008583691</f>
        <v>0</v>
      </c>
      <c r="AF28" s="34">
        <f>G28*(1-0.90606008583691)</f>
        <v>0</v>
      </c>
      <c r="AG28" s="29" t="s">
        <v>7</v>
      </c>
      <c r="AM28" s="34">
        <f aca="true" t="shared" si="15" ref="AM28:AM33">F28*AE28</f>
        <v>0</v>
      </c>
      <c r="AN28" s="34">
        <f aca="true" t="shared" si="16" ref="AN28:AN33">F28*AF28</f>
        <v>0</v>
      </c>
      <c r="AO28" s="35" t="s">
        <v>450</v>
      </c>
      <c r="AP28" s="35" t="s">
        <v>481</v>
      </c>
      <c r="AQ28" s="26" t="s">
        <v>491</v>
      </c>
      <c r="AS28" s="34">
        <f aca="true" t="shared" si="17" ref="AS28:AS33">AM28+AN28</f>
        <v>0</v>
      </c>
      <c r="AT28" s="34">
        <f aca="true" t="shared" si="18" ref="AT28:AT33">G28/(100-AU28)*100</f>
        <v>0</v>
      </c>
      <c r="AU28" s="34">
        <v>0</v>
      </c>
      <c r="AV28" s="34">
        <f aca="true" t="shared" si="19" ref="AV28:AV33">L28</f>
        <v>17.24575</v>
      </c>
    </row>
    <row r="29" spans="1:48" ht="12.75">
      <c r="A29" s="4" t="s">
        <v>17</v>
      </c>
      <c r="B29" s="4"/>
      <c r="C29" s="4" t="s">
        <v>135</v>
      </c>
      <c r="D29" s="4" t="s">
        <v>276</v>
      </c>
      <c r="E29" s="4" t="s">
        <v>414</v>
      </c>
      <c r="F29" s="17">
        <v>5.21</v>
      </c>
      <c r="G29" s="17">
        <v>0</v>
      </c>
      <c r="H29" s="17">
        <f t="shared" si="0"/>
        <v>0</v>
      </c>
      <c r="I29" s="17">
        <f t="shared" si="1"/>
        <v>0</v>
      </c>
      <c r="J29" s="17">
        <f t="shared" si="2"/>
        <v>0</v>
      </c>
      <c r="K29" s="17">
        <v>0.0364</v>
      </c>
      <c r="L29" s="17">
        <f t="shared" si="3"/>
        <v>0.189644</v>
      </c>
      <c r="M29" s="29" t="s">
        <v>434</v>
      </c>
      <c r="P29" s="34">
        <f t="shared" si="4"/>
        <v>0</v>
      </c>
      <c r="R29" s="34">
        <f t="shared" si="5"/>
        <v>0</v>
      </c>
      <c r="S29" s="34">
        <f t="shared" si="6"/>
        <v>0</v>
      </c>
      <c r="T29" s="34">
        <f t="shared" si="7"/>
        <v>0</v>
      </c>
      <c r="U29" s="34">
        <f t="shared" si="8"/>
        <v>0</v>
      </c>
      <c r="V29" s="34">
        <f t="shared" si="9"/>
        <v>0</v>
      </c>
      <c r="W29" s="34">
        <f t="shared" si="10"/>
        <v>0</v>
      </c>
      <c r="X29" s="34">
        <f t="shared" si="11"/>
        <v>0</v>
      </c>
      <c r="Y29" s="26"/>
      <c r="Z29" s="17">
        <f t="shared" si="12"/>
        <v>0</v>
      </c>
      <c r="AA29" s="17">
        <f t="shared" si="13"/>
        <v>0</v>
      </c>
      <c r="AB29" s="17">
        <f t="shared" si="14"/>
        <v>0</v>
      </c>
      <c r="AD29" s="34">
        <v>21</v>
      </c>
      <c r="AE29" s="34">
        <f>G29*0.720623742454728</f>
        <v>0</v>
      </c>
      <c r="AF29" s="34">
        <f>G29*(1-0.720623742454728)</f>
        <v>0</v>
      </c>
      <c r="AG29" s="29" t="s">
        <v>7</v>
      </c>
      <c r="AM29" s="34">
        <f t="shared" si="15"/>
        <v>0</v>
      </c>
      <c r="AN29" s="34">
        <f t="shared" si="16"/>
        <v>0</v>
      </c>
      <c r="AO29" s="35" t="s">
        <v>450</v>
      </c>
      <c r="AP29" s="35" t="s">
        <v>481</v>
      </c>
      <c r="AQ29" s="26" t="s">
        <v>491</v>
      </c>
      <c r="AS29" s="34">
        <f t="shared" si="17"/>
        <v>0</v>
      </c>
      <c r="AT29" s="34">
        <f t="shared" si="18"/>
        <v>0</v>
      </c>
      <c r="AU29" s="34">
        <v>0</v>
      </c>
      <c r="AV29" s="34">
        <f t="shared" si="19"/>
        <v>0.189644</v>
      </c>
    </row>
    <row r="30" spans="1:48" ht="12.75">
      <c r="A30" s="4" t="s">
        <v>18</v>
      </c>
      <c r="B30" s="4"/>
      <c r="C30" s="4" t="s">
        <v>136</v>
      </c>
      <c r="D30" s="4" t="s">
        <v>277</v>
      </c>
      <c r="E30" s="4" t="s">
        <v>414</v>
      </c>
      <c r="F30" s="17">
        <v>5.21</v>
      </c>
      <c r="G30" s="17">
        <v>0</v>
      </c>
      <c r="H30" s="17">
        <f t="shared" si="0"/>
        <v>0</v>
      </c>
      <c r="I30" s="17">
        <f t="shared" si="1"/>
        <v>0</v>
      </c>
      <c r="J30" s="17">
        <f t="shared" si="2"/>
        <v>0</v>
      </c>
      <c r="K30" s="17">
        <v>0</v>
      </c>
      <c r="L30" s="17">
        <f t="shared" si="3"/>
        <v>0</v>
      </c>
      <c r="M30" s="29" t="s">
        <v>434</v>
      </c>
      <c r="P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0</v>
      </c>
      <c r="U30" s="34">
        <f t="shared" si="8"/>
        <v>0</v>
      </c>
      <c r="V30" s="34">
        <f t="shared" si="9"/>
        <v>0</v>
      </c>
      <c r="W30" s="34">
        <f t="shared" si="10"/>
        <v>0</v>
      </c>
      <c r="X30" s="34">
        <f t="shared" si="11"/>
        <v>0</v>
      </c>
      <c r="Y30" s="26"/>
      <c r="Z30" s="17">
        <f t="shared" si="12"/>
        <v>0</v>
      </c>
      <c r="AA30" s="17">
        <f t="shared" si="13"/>
        <v>0</v>
      </c>
      <c r="AB30" s="17">
        <f t="shared" si="14"/>
        <v>0</v>
      </c>
      <c r="AD30" s="34">
        <v>21</v>
      </c>
      <c r="AE30" s="34">
        <f>G30*0</f>
        <v>0</v>
      </c>
      <c r="AF30" s="34">
        <f>G30*(1-0)</f>
        <v>0</v>
      </c>
      <c r="AG30" s="29" t="s">
        <v>7</v>
      </c>
      <c r="AM30" s="34">
        <f t="shared" si="15"/>
        <v>0</v>
      </c>
      <c r="AN30" s="34">
        <f t="shared" si="16"/>
        <v>0</v>
      </c>
      <c r="AO30" s="35" t="s">
        <v>450</v>
      </c>
      <c r="AP30" s="35" t="s">
        <v>481</v>
      </c>
      <c r="AQ30" s="26" t="s">
        <v>491</v>
      </c>
      <c r="AS30" s="34">
        <f t="shared" si="17"/>
        <v>0</v>
      </c>
      <c r="AT30" s="34">
        <f t="shared" si="18"/>
        <v>0</v>
      </c>
      <c r="AU30" s="34">
        <v>0</v>
      </c>
      <c r="AV30" s="34">
        <f t="shared" si="19"/>
        <v>0</v>
      </c>
    </row>
    <row r="31" spans="1:48" ht="12.75">
      <c r="A31" s="4" t="s">
        <v>19</v>
      </c>
      <c r="B31" s="4"/>
      <c r="C31" s="4" t="s">
        <v>137</v>
      </c>
      <c r="D31" s="4" t="s">
        <v>278</v>
      </c>
      <c r="E31" s="4" t="s">
        <v>415</v>
      </c>
      <c r="F31" s="17">
        <v>0.16</v>
      </c>
      <c r="G31" s="17">
        <v>0</v>
      </c>
      <c r="H31" s="17">
        <f t="shared" si="0"/>
        <v>0</v>
      </c>
      <c r="I31" s="17">
        <f t="shared" si="1"/>
        <v>0</v>
      </c>
      <c r="J31" s="17">
        <f t="shared" si="2"/>
        <v>0</v>
      </c>
      <c r="K31" s="17">
        <v>1.05544</v>
      </c>
      <c r="L31" s="17">
        <f t="shared" si="3"/>
        <v>0.1688704</v>
      </c>
      <c r="M31" s="29" t="s">
        <v>434</v>
      </c>
      <c r="P31" s="34">
        <f t="shared" si="4"/>
        <v>0</v>
      </c>
      <c r="R31" s="34">
        <f t="shared" si="5"/>
        <v>0</v>
      </c>
      <c r="S31" s="34">
        <f t="shared" si="6"/>
        <v>0</v>
      </c>
      <c r="T31" s="34">
        <f t="shared" si="7"/>
        <v>0</v>
      </c>
      <c r="U31" s="34">
        <f t="shared" si="8"/>
        <v>0</v>
      </c>
      <c r="V31" s="34">
        <f t="shared" si="9"/>
        <v>0</v>
      </c>
      <c r="W31" s="34">
        <f t="shared" si="10"/>
        <v>0</v>
      </c>
      <c r="X31" s="34">
        <f t="shared" si="11"/>
        <v>0</v>
      </c>
      <c r="Y31" s="26"/>
      <c r="Z31" s="17">
        <f t="shared" si="12"/>
        <v>0</v>
      </c>
      <c r="AA31" s="17">
        <f t="shared" si="13"/>
        <v>0</v>
      </c>
      <c r="AB31" s="17">
        <f t="shared" si="14"/>
        <v>0</v>
      </c>
      <c r="AD31" s="34">
        <v>21</v>
      </c>
      <c r="AE31" s="34">
        <f>G31*0.819049719626168</f>
        <v>0</v>
      </c>
      <c r="AF31" s="34">
        <f>G31*(1-0.819049719626168)</f>
        <v>0</v>
      </c>
      <c r="AG31" s="29" t="s">
        <v>7</v>
      </c>
      <c r="AM31" s="34">
        <f t="shared" si="15"/>
        <v>0</v>
      </c>
      <c r="AN31" s="34">
        <f t="shared" si="16"/>
        <v>0</v>
      </c>
      <c r="AO31" s="35" t="s">
        <v>450</v>
      </c>
      <c r="AP31" s="35" t="s">
        <v>481</v>
      </c>
      <c r="AQ31" s="26" t="s">
        <v>491</v>
      </c>
      <c r="AS31" s="34">
        <f t="shared" si="17"/>
        <v>0</v>
      </c>
      <c r="AT31" s="34">
        <f t="shared" si="18"/>
        <v>0</v>
      </c>
      <c r="AU31" s="34">
        <v>0</v>
      </c>
      <c r="AV31" s="34">
        <f t="shared" si="19"/>
        <v>0.1688704</v>
      </c>
    </row>
    <row r="32" spans="1:48" ht="12.75">
      <c r="A32" s="4" t="s">
        <v>20</v>
      </c>
      <c r="B32" s="4"/>
      <c r="C32" s="4" t="s">
        <v>138</v>
      </c>
      <c r="D32" s="4" t="s">
        <v>279</v>
      </c>
      <c r="E32" s="4" t="s">
        <v>412</v>
      </c>
      <c r="F32" s="17">
        <v>10.84</v>
      </c>
      <c r="G32" s="17">
        <v>0</v>
      </c>
      <c r="H32" s="17">
        <f t="shared" si="0"/>
        <v>0</v>
      </c>
      <c r="I32" s="17">
        <f t="shared" si="1"/>
        <v>0</v>
      </c>
      <c r="J32" s="17">
        <f t="shared" si="2"/>
        <v>0</v>
      </c>
      <c r="K32" s="17">
        <v>2.525</v>
      </c>
      <c r="L32" s="17">
        <f t="shared" si="3"/>
        <v>27.371</v>
      </c>
      <c r="M32" s="29" t="s">
        <v>434</v>
      </c>
      <c r="P32" s="34">
        <f t="shared" si="4"/>
        <v>0</v>
      </c>
      <c r="R32" s="34">
        <f t="shared" si="5"/>
        <v>0</v>
      </c>
      <c r="S32" s="34">
        <f t="shared" si="6"/>
        <v>0</v>
      </c>
      <c r="T32" s="34">
        <f t="shared" si="7"/>
        <v>0</v>
      </c>
      <c r="U32" s="34">
        <f t="shared" si="8"/>
        <v>0</v>
      </c>
      <c r="V32" s="34">
        <f t="shared" si="9"/>
        <v>0</v>
      </c>
      <c r="W32" s="34">
        <f t="shared" si="10"/>
        <v>0</v>
      </c>
      <c r="X32" s="34">
        <f t="shared" si="11"/>
        <v>0</v>
      </c>
      <c r="Y32" s="26"/>
      <c r="Z32" s="17">
        <f t="shared" si="12"/>
        <v>0</v>
      </c>
      <c r="AA32" s="17">
        <f t="shared" si="13"/>
        <v>0</v>
      </c>
      <c r="AB32" s="17">
        <f t="shared" si="14"/>
        <v>0</v>
      </c>
      <c r="AD32" s="34">
        <v>21</v>
      </c>
      <c r="AE32" s="34">
        <f>G32*0.905884524100755</f>
        <v>0</v>
      </c>
      <c r="AF32" s="34">
        <f>G32*(1-0.905884524100755)</f>
        <v>0</v>
      </c>
      <c r="AG32" s="29" t="s">
        <v>7</v>
      </c>
      <c r="AM32" s="34">
        <f t="shared" si="15"/>
        <v>0</v>
      </c>
      <c r="AN32" s="34">
        <f t="shared" si="16"/>
        <v>0</v>
      </c>
      <c r="AO32" s="35" t="s">
        <v>450</v>
      </c>
      <c r="AP32" s="35" t="s">
        <v>481</v>
      </c>
      <c r="AQ32" s="26" t="s">
        <v>491</v>
      </c>
      <c r="AS32" s="34">
        <f t="shared" si="17"/>
        <v>0</v>
      </c>
      <c r="AT32" s="34">
        <f t="shared" si="18"/>
        <v>0</v>
      </c>
      <c r="AU32" s="34">
        <v>0</v>
      </c>
      <c r="AV32" s="34">
        <f t="shared" si="19"/>
        <v>27.371</v>
      </c>
    </row>
    <row r="33" spans="1:48" ht="12.75">
      <c r="A33" s="4" t="s">
        <v>21</v>
      </c>
      <c r="B33" s="4"/>
      <c r="C33" s="4" t="s">
        <v>139</v>
      </c>
      <c r="D33" s="4" t="s">
        <v>280</v>
      </c>
      <c r="E33" s="4" t="s">
        <v>416</v>
      </c>
      <c r="F33" s="17">
        <v>2</v>
      </c>
      <c r="G33" s="17">
        <v>0</v>
      </c>
      <c r="H33" s="17">
        <f t="shared" si="0"/>
        <v>0</v>
      </c>
      <c r="I33" s="17">
        <f t="shared" si="1"/>
        <v>0</v>
      </c>
      <c r="J33" s="17">
        <f t="shared" si="2"/>
        <v>0</v>
      </c>
      <c r="K33" s="17">
        <v>0.00088</v>
      </c>
      <c r="L33" s="17">
        <f t="shared" si="3"/>
        <v>0.00176</v>
      </c>
      <c r="M33" s="29" t="s">
        <v>434</v>
      </c>
      <c r="P33" s="34">
        <f t="shared" si="4"/>
        <v>0</v>
      </c>
      <c r="R33" s="34">
        <f t="shared" si="5"/>
        <v>0</v>
      </c>
      <c r="S33" s="34">
        <f t="shared" si="6"/>
        <v>0</v>
      </c>
      <c r="T33" s="34">
        <f t="shared" si="7"/>
        <v>0</v>
      </c>
      <c r="U33" s="34">
        <f t="shared" si="8"/>
        <v>0</v>
      </c>
      <c r="V33" s="34">
        <f t="shared" si="9"/>
        <v>0</v>
      </c>
      <c r="W33" s="34">
        <f t="shared" si="10"/>
        <v>0</v>
      </c>
      <c r="X33" s="34">
        <f t="shared" si="11"/>
        <v>0</v>
      </c>
      <c r="Y33" s="26"/>
      <c r="Z33" s="17">
        <f t="shared" si="12"/>
        <v>0</v>
      </c>
      <c r="AA33" s="17">
        <f t="shared" si="13"/>
        <v>0</v>
      </c>
      <c r="AB33" s="17">
        <f t="shared" si="14"/>
        <v>0</v>
      </c>
      <c r="AD33" s="34">
        <v>21</v>
      </c>
      <c r="AE33" s="34">
        <f>G33*0.275308084392541</f>
        <v>0</v>
      </c>
      <c r="AF33" s="34">
        <f>G33*(1-0.275308084392541)</f>
        <v>0</v>
      </c>
      <c r="AG33" s="29" t="s">
        <v>7</v>
      </c>
      <c r="AM33" s="34">
        <f t="shared" si="15"/>
        <v>0</v>
      </c>
      <c r="AN33" s="34">
        <f t="shared" si="16"/>
        <v>0</v>
      </c>
      <c r="AO33" s="35" t="s">
        <v>450</v>
      </c>
      <c r="AP33" s="35" t="s">
        <v>481</v>
      </c>
      <c r="AQ33" s="26" t="s">
        <v>491</v>
      </c>
      <c r="AS33" s="34">
        <f t="shared" si="17"/>
        <v>0</v>
      </c>
      <c r="AT33" s="34">
        <f t="shared" si="18"/>
        <v>0</v>
      </c>
      <c r="AU33" s="34">
        <v>0</v>
      </c>
      <c r="AV33" s="34">
        <f t="shared" si="19"/>
        <v>0.00176</v>
      </c>
    </row>
    <row r="34" spans="1:37" ht="12.75">
      <c r="A34" s="5"/>
      <c r="B34" s="13"/>
      <c r="C34" s="13" t="s">
        <v>37</v>
      </c>
      <c r="D34" s="92" t="s">
        <v>281</v>
      </c>
      <c r="E34" s="93"/>
      <c r="F34" s="93"/>
      <c r="G34" s="93"/>
      <c r="H34" s="37">
        <f>SUM(H35:H36)</f>
        <v>0</v>
      </c>
      <c r="I34" s="37">
        <f>SUM(I35:I36)</f>
        <v>0</v>
      </c>
      <c r="J34" s="37">
        <f>H34+I34</f>
        <v>0</v>
      </c>
      <c r="K34" s="26"/>
      <c r="L34" s="37">
        <f>SUM(L35:L36)</f>
        <v>20.5315754</v>
      </c>
      <c r="M34" s="26"/>
      <c r="Y34" s="26"/>
      <c r="AI34" s="37">
        <f>SUM(Z35:Z36)</f>
        <v>0</v>
      </c>
      <c r="AJ34" s="37">
        <f>SUM(AA35:AA36)</f>
        <v>0</v>
      </c>
      <c r="AK34" s="37">
        <f>SUM(AB35:AB36)</f>
        <v>0</v>
      </c>
    </row>
    <row r="35" spans="1:48" ht="12.75">
      <c r="A35" s="4" t="s">
        <v>22</v>
      </c>
      <c r="B35" s="4"/>
      <c r="C35" s="4" t="s">
        <v>140</v>
      </c>
      <c r="D35" s="4" t="s">
        <v>282</v>
      </c>
      <c r="E35" s="4" t="s">
        <v>414</v>
      </c>
      <c r="F35" s="17">
        <v>35.98</v>
      </c>
      <c r="G35" s="17">
        <v>0</v>
      </c>
      <c r="H35" s="17">
        <f>F35*AE35</f>
        <v>0</v>
      </c>
      <c r="I35" s="17">
        <f>J35-H35</f>
        <v>0</v>
      </c>
      <c r="J35" s="17">
        <f>F35*G35</f>
        <v>0</v>
      </c>
      <c r="K35" s="17">
        <v>0.37784</v>
      </c>
      <c r="L35" s="17">
        <f>F35*K35</f>
        <v>13.594683199999999</v>
      </c>
      <c r="M35" s="29" t="s">
        <v>434</v>
      </c>
      <c r="P35" s="34">
        <f>IF(AG35="5",J35,0)</f>
        <v>0</v>
      </c>
      <c r="R35" s="34">
        <f>IF(AG35="1",H35,0)</f>
        <v>0</v>
      </c>
      <c r="S35" s="34">
        <f>IF(AG35="1",I35,0)</f>
        <v>0</v>
      </c>
      <c r="T35" s="34">
        <f>IF(AG35="7",H35,0)</f>
        <v>0</v>
      </c>
      <c r="U35" s="34">
        <f>IF(AG35="7",I35,0)</f>
        <v>0</v>
      </c>
      <c r="V35" s="34">
        <f>IF(AG35="2",H35,0)</f>
        <v>0</v>
      </c>
      <c r="W35" s="34">
        <f>IF(AG35="2",I35,0)</f>
        <v>0</v>
      </c>
      <c r="X35" s="34">
        <f>IF(AG35="0",J35,0)</f>
        <v>0</v>
      </c>
      <c r="Y35" s="26"/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4">
        <v>21</v>
      </c>
      <c r="AE35" s="34">
        <f>G35*0.680813688212928</f>
        <v>0</v>
      </c>
      <c r="AF35" s="34">
        <f>G35*(1-0.680813688212928)</f>
        <v>0</v>
      </c>
      <c r="AG35" s="29" t="s">
        <v>7</v>
      </c>
      <c r="AM35" s="34">
        <f>F35*AE35</f>
        <v>0</v>
      </c>
      <c r="AN35" s="34">
        <f>F35*AF35</f>
        <v>0</v>
      </c>
      <c r="AO35" s="35" t="s">
        <v>451</v>
      </c>
      <c r="AP35" s="35" t="s">
        <v>482</v>
      </c>
      <c r="AQ35" s="26" t="s">
        <v>491</v>
      </c>
      <c r="AS35" s="34">
        <f>AM35+AN35</f>
        <v>0</v>
      </c>
      <c r="AT35" s="34">
        <f>G35/(100-AU35)*100</f>
        <v>0</v>
      </c>
      <c r="AU35" s="34">
        <v>0</v>
      </c>
      <c r="AV35" s="34">
        <f>L35</f>
        <v>13.594683199999999</v>
      </c>
    </row>
    <row r="36" spans="1:48" ht="12.75">
      <c r="A36" s="4" t="s">
        <v>23</v>
      </c>
      <c r="B36" s="4"/>
      <c r="C36" s="4" t="s">
        <v>141</v>
      </c>
      <c r="D36" s="4" t="s">
        <v>283</v>
      </c>
      <c r="E36" s="4" t="s">
        <v>414</v>
      </c>
      <c r="F36" s="17">
        <v>26.37</v>
      </c>
      <c r="G36" s="17">
        <v>0</v>
      </c>
      <c r="H36" s="17">
        <f>F36*AE36</f>
        <v>0</v>
      </c>
      <c r="I36" s="17">
        <f>J36-H36</f>
        <v>0</v>
      </c>
      <c r="J36" s="17">
        <f>F36*G36</f>
        <v>0</v>
      </c>
      <c r="K36" s="17">
        <v>0.26306</v>
      </c>
      <c r="L36" s="17">
        <f>F36*K36</f>
        <v>6.936892200000001</v>
      </c>
      <c r="M36" s="29" t="s">
        <v>434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21</v>
      </c>
      <c r="AE36" s="34">
        <f>G36*0.780827838827839</f>
        <v>0</v>
      </c>
      <c r="AF36" s="34">
        <f>G36*(1-0.780827838827839)</f>
        <v>0</v>
      </c>
      <c r="AG36" s="29" t="s">
        <v>7</v>
      </c>
      <c r="AM36" s="34">
        <f>F36*AE36</f>
        <v>0</v>
      </c>
      <c r="AN36" s="34">
        <f>F36*AF36</f>
        <v>0</v>
      </c>
      <c r="AO36" s="35" t="s">
        <v>451</v>
      </c>
      <c r="AP36" s="35" t="s">
        <v>482</v>
      </c>
      <c r="AQ36" s="26" t="s">
        <v>491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6.936892200000001</v>
      </c>
    </row>
    <row r="37" spans="1:37" ht="12.75">
      <c r="A37" s="5"/>
      <c r="B37" s="13"/>
      <c r="C37" s="13" t="s">
        <v>40</v>
      </c>
      <c r="D37" s="92" t="s">
        <v>284</v>
      </c>
      <c r="E37" s="93"/>
      <c r="F37" s="93"/>
      <c r="G37" s="93"/>
      <c r="H37" s="37">
        <f>SUM(H38:H38)</f>
        <v>0</v>
      </c>
      <c r="I37" s="37">
        <f>SUM(I38:I38)</f>
        <v>0</v>
      </c>
      <c r="J37" s="37">
        <f>H37+I37</f>
        <v>0</v>
      </c>
      <c r="K37" s="26"/>
      <c r="L37" s="37">
        <f>SUM(L38:L38)</f>
        <v>1.4243004</v>
      </c>
      <c r="M37" s="26"/>
      <c r="Y37" s="26"/>
      <c r="AI37" s="37">
        <f>SUM(Z38:Z38)</f>
        <v>0</v>
      </c>
      <c r="AJ37" s="37">
        <f>SUM(AA38:AA38)</f>
        <v>0</v>
      </c>
      <c r="AK37" s="37">
        <f>SUM(AB38:AB38)</f>
        <v>0</v>
      </c>
    </row>
    <row r="38" spans="1:48" ht="12.75">
      <c r="A38" s="4" t="s">
        <v>24</v>
      </c>
      <c r="B38" s="4"/>
      <c r="C38" s="4" t="s">
        <v>142</v>
      </c>
      <c r="D38" s="4" t="s">
        <v>285</v>
      </c>
      <c r="E38" s="4" t="s">
        <v>414</v>
      </c>
      <c r="F38" s="17">
        <v>15.32</v>
      </c>
      <c r="G38" s="17">
        <v>0</v>
      </c>
      <c r="H38" s="17">
        <f>F38*AE38</f>
        <v>0</v>
      </c>
      <c r="I38" s="17">
        <f>J38-H38</f>
        <v>0</v>
      </c>
      <c r="J38" s="17">
        <f>F38*G38</f>
        <v>0</v>
      </c>
      <c r="K38" s="17">
        <v>0.09297</v>
      </c>
      <c r="L38" s="17">
        <f>F38*K38</f>
        <v>1.4243004</v>
      </c>
      <c r="M38" s="29" t="s">
        <v>434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6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21</v>
      </c>
      <c r="AE38" s="34">
        <f>G38*0.688251366120219</f>
        <v>0</v>
      </c>
      <c r="AF38" s="34">
        <f>G38*(1-0.688251366120219)</f>
        <v>0</v>
      </c>
      <c r="AG38" s="29" t="s">
        <v>7</v>
      </c>
      <c r="AM38" s="34">
        <f>F38*AE38</f>
        <v>0</v>
      </c>
      <c r="AN38" s="34">
        <f>F38*AF38</f>
        <v>0</v>
      </c>
      <c r="AO38" s="35" t="s">
        <v>452</v>
      </c>
      <c r="AP38" s="35" t="s">
        <v>482</v>
      </c>
      <c r="AQ38" s="26" t="s">
        <v>491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1.4243004</v>
      </c>
    </row>
    <row r="39" spans="1:37" ht="12.75">
      <c r="A39" s="5"/>
      <c r="B39" s="13"/>
      <c r="C39" s="13" t="s">
        <v>47</v>
      </c>
      <c r="D39" s="92" t="s">
        <v>286</v>
      </c>
      <c r="E39" s="93"/>
      <c r="F39" s="93"/>
      <c r="G39" s="93"/>
      <c r="H39" s="37">
        <f>SUM(H40:H44)</f>
        <v>0</v>
      </c>
      <c r="I39" s="37">
        <f>SUM(I40:I44)</f>
        <v>0</v>
      </c>
      <c r="J39" s="37">
        <f>H39+I39</f>
        <v>0</v>
      </c>
      <c r="K39" s="26"/>
      <c r="L39" s="37">
        <f>SUM(L40:L44)</f>
        <v>4.7034887</v>
      </c>
      <c r="M39" s="26"/>
      <c r="Y39" s="26"/>
      <c r="AI39" s="37">
        <f>SUM(Z40:Z44)</f>
        <v>0</v>
      </c>
      <c r="AJ39" s="37">
        <f>SUM(AA40:AA44)</f>
        <v>0</v>
      </c>
      <c r="AK39" s="37">
        <f>SUM(AB40:AB44)</f>
        <v>0</v>
      </c>
    </row>
    <row r="40" spans="1:48" ht="12.75">
      <c r="A40" s="4" t="s">
        <v>25</v>
      </c>
      <c r="B40" s="4"/>
      <c r="C40" s="4" t="s">
        <v>143</v>
      </c>
      <c r="D40" s="4" t="s">
        <v>287</v>
      </c>
      <c r="E40" s="4" t="s">
        <v>414</v>
      </c>
      <c r="F40" s="17">
        <v>16.2</v>
      </c>
      <c r="G40" s="17">
        <v>0</v>
      </c>
      <c r="H40" s="17">
        <f>F40*AE40</f>
        <v>0</v>
      </c>
      <c r="I40" s="17">
        <f>J40-H40</f>
        <v>0</v>
      </c>
      <c r="J40" s="17">
        <f>F40*G40</f>
        <v>0</v>
      </c>
      <c r="K40" s="17">
        <v>0.01186</v>
      </c>
      <c r="L40" s="17">
        <f>F40*K40</f>
        <v>0.192132</v>
      </c>
      <c r="M40" s="29" t="s">
        <v>434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G40*0.334474187380497</f>
        <v>0</v>
      </c>
      <c r="AF40" s="34">
        <f>G40*(1-0.334474187380497)</f>
        <v>0</v>
      </c>
      <c r="AG40" s="29" t="s">
        <v>7</v>
      </c>
      <c r="AM40" s="34">
        <f>F40*AE40</f>
        <v>0</v>
      </c>
      <c r="AN40" s="34">
        <f>F40*AF40</f>
        <v>0</v>
      </c>
      <c r="AO40" s="35" t="s">
        <v>453</v>
      </c>
      <c r="AP40" s="35" t="s">
        <v>483</v>
      </c>
      <c r="AQ40" s="26" t="s">
        <v>491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0.192132</v>
      </c>
    </row>
    <row r="41" spans="1:48" ht="12.75">
      <c r="A41" s="4" t="s">
        <v>26</v>
      </c>
      <c r="B41" s="4"/>
      <c r="C41" s="4" t="s">
        <v>144</v>
      </c>
      <c r="D41" s="4" t="s">
        <v>288</v>
      </c>
      <c r="E41" s="4" t="s">
        <v>412</v>
      </c>
      <c r="F41" s="17">
        <v>1.68</v>
      </c>
      <c r="G41" s="17">
        <v>0</v>
      </c>
      <c r="H41" s="17">
        <f>F41*AE41</f>
        <v>0</v>
      </c>
      <c r="I41" s="17">
        <f>J41-H41</f>
        <v>0</v>
      </c>
      <c r="J41" s="17">
        <f>F41*G41</f>
        <v>0</v>
      </c>
      <c r="K41" s="17">
        <v>2.52511</v>
      </c>
      <c r="L41" s="17">
        <f>F41*K41</f>
        <v>4.2421848</v>
      </c>
      <c r="M41" s="29" t="s">
        <v>434</v>
      </c>
      <c r="P41" s="34">
        <f>IF(AG41="5",J41,0)</f>
        <v>0</v>
      </c>
      <c r="R41" s="34">
        <f>IF(AG41="1",H41,0)</f>
        <v>0</v>
      </c>
      <c r="S41" s="34">
        <f>IF(AG41="1",I41,0)</f>
        <v>0</v>
      </c>
      <c r="T41" s="34">
        <f>IF(AG41="7",H41,0)</f>
        <v>0</v>
      </c>
      <c r="U41" s="34">
        <f>IF(AG41="7",I41,0)</f>
        <v>0</v>
      </c>
      <c r="V41" s="34">
        <f>IF(AG41="2",H41,0)</f>
        <v>0</v>
      </c>
      <c r="W41" s="34">
        <f>IF(AG41="2",I41,0)</f>
        <v>0</v>
      </c>
      <c r="X41" s="34">
        <f>IF(AG41="0",J41,0)</f>
        <v>0</v>
      </c>
      <c r="Y41" s="26"/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4">
        <v>21</v>
      </c>
      <c r="AE41" s="34">
        <f>G41*0.83520527306968</f>
        <v>0</v>
      </c>
      <c r="AF41" s="34">
        <f>G41*(1-0.83520527306968)</f>
        <v>0</v>
      </c>
      <c r="AG41" s="29" t="s">
        <v>7</v>
      </c>
      <c r="AM41" s="34">
        <f>F41*AE41</f>
        <v>0</v>
      </c>
      <c r="AN41" s="34">
        <f>F41*AF41</f>
        <v>0</v>
      </c>
      <c r="AO41" s="35" t="s">
        <v>453</v>
      </c>
      <c r="AP41" s="35" t="s">
        <v>483</v>
      </c>
      <c r="AQ41" s="26" t="s">
        <v>491</v>
      </c>
      <c r="AS41" s="34">
        <f>AM41+AN41</f>
        <v>0</v>
      </c>
      <c r="AT41" s="34">
        <f>G41/(100-AU41)*100</f>
        <v>0</v>
      </c>
      <c r="AU41" s="34">
        <v>0</v>
      </c>
      <c r="AV41" s="34">
        <f>L41</f>
        <v>4.2421848</v>
      </c>
    </row>
    <row r="42" spans="1:48" ht="12.75">
      <c r="A42" s="4" t="s">
        <v>27</v>
      </c>
      <c r="B42" s="4"/>
      <c r="C42" s="4" t="s">
        <v>145</v>
      </c>
      <c r="D42" s="4" t="s">
        <v>289</v>
      </c>
      <c r="E42" s="4" t="s">
        <v>414</v>
      </c>
      <c r="F42" s="17">
        <v>14.92</v>
      </c>
      <c r="G42" s="17">
        <v>0</v>
      </c>
      <c r="H42" s="17">
        <f>F42*AE42</f>
        <v>0</v>
      </c>
      <c r="I42" s="17">
        <f>J42-H42</f>
        <v>0</v>
      </c>
      <c r="J42" s="17">
        <f>F42*G42</f>
        <v>0</v>
      </c>
      <c r="K42" s="17">
        <v>0.00782</v>
      </c>
      <c r="L42" s="17">
        <f>F42*K42</f>
        <v>0.11667440000000001</v>
      </c>
      <c r="M42" s="29" t="s">
        <v>434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21</v>
      </c>
      <c r="AE42" s="34">
        <f>G42*0.301114754098361</f>
        <v>0</v>
      </c>
      <c r="AF42" s="34">
        <f>G42*(1-0.301114754098361)</f>
        <v>0</v>
      </c>
      <c r="AG42" s="29" t="s">
        <v>7</v>
      </c>
      <c r="AM42" s="34">
        <f>F42*AE42</f>
        <v>0</v>
      </c>
      <c r="AN42" s="34">
        <f>F42*AF42</f>
        <v>0</v>
      </c>
      <c r="AO42" s="35" t="s">
        <v>453</v>
      </c>
      <c r="AP42" s="35" t="s">
        <v>483</v>
      </c>
      <c r="AQ42" s="26" t="s">
        <v>491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0.11667440000000001</v>
      </c>
    </row>
    <row r="43" spans="1:48" ht="12.75">
      <c r="A43" s="4" t="s">
        <v>28</v>
      </c>
      <c r="B43" s="4"/>
      <c r="C43" s="4" t="s">
        <v>146</v>
      </c>
      <c r="D43" s="4" t="s">
        <v>290</v>
      </c>
      <c r="E43" s="4" t="s">
        <v>414</v>
      </c>
      <c r="F43" s="17">
        <v>14.92</v>
      </c>
      <c r="G43" s="17">
        <v>0</v>
      </c>
      <c r="H43" s="17">
        <f>F43*AE43</f>
        <v>0</v>
      </c>
      <c r="I43" s="17">
        <f>J43-H43</f>
        <v>0</v>
      </c>
      <c r="J43" s="17">
        <f>F43*G43</f>
        <v>0</v>
      </c>
      <c r="K43" s="17">
        <v>0</v>
      </c>
      <c r="L43" s="17">
        <f>F43*K43</f>
        <v>0</v>
      </c>
      <c r="M43" s="29" t="s">
        <v>434</v>
      </c>
      <c r="P43" s="34">
        <f>IF(AG43="5",J43,0)</f>
        <v>0</v>
      </c>
      <c r="R43" s="34">
        <f>IF(AG43="1",H43,0)</f>
        <v>0</v>
      </c>
      <c r="S43" s="34">
        <f>IF(AG43="1",I43,0)</f>
        <v>0</v>
      </c>
      <c r="T43" s="34">
        <f>IF(AG43="7",H43,0)</f>
        <v>0</v>
      </c>
      <c r="U43" s="34">
        <f>IF(AG43="7",I43,0)</f>
        <v>0</v>
      </c>
      <c r="V43" s="34">
        <f>IF(AG43="2",H43,0)</f>
        <v>0</v>
      </c>
      <c r="W43" s="34">
        <f>IF(AG43="2",I43,0)</f>
        <v>0</v>
      </c>
      <c r="X43" s="34">
        <f>IF(AG43="0",J43,0)</f>
        <v>0</v>
      </c>
      <c r="Y43" s="26"/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4">
        <v>21</v>
      </c>
      <c r="AE43" s="34">
        <f>G43*0</f>
        <v>0</v>
      </c>
      <c r="AF43" s="34">
        <f>G43*(1-0)</f>
        <v>0</v>
      </c>
      <c r="AG43" s="29" t="s">
        <v>7</v>
      </c>
      <c r="AM43" s="34">
        <f>F43*AE43</f>
        <v>0</v>
      </c>
      <c r="AN43" s="34">
        <f>F43*AF43</f>
        <v>0</v>
      </c>
      <c r="AO43" s="35" t="s">
        <v>453</v>
      </c>
      <c r="AP43" s="35" t="s">
        <v>483</v>
      </c>
      <c r="AQ43" s="26" t="s">
        <v>491</v>
      </c>
      <c r="AS43" s="34">
        <f>AM43+AN43</f>
        <v>0</v>
      </c>
      <c r="AT43" s="34">
        <f>G43/(100-AU43)*100</f>
        <v>0</v>
      </c>
      <c r="AU43" s="34">
        <v>0</v>
      </c>
      <c r="AV43" s="34">
        <f>L43</f>
        <v>0</v>
      </c>
    </row>
    <row r="44" spans="1:48" ht="12.75">
      <c r="A44" s="4" t="s">
        <v>29</v>
      </c>
      <c r="B44" s="4"/>
      <c r="C44" s="4" t="s">
        <v>147</v>
      </c>
      <c r="D44" s="4" t="s">
        <v>291</v>
      </c>
      <c r="E44" s="4" t="s">
        <v>415</v>
      </c>
      <c r="F44" s="17">
        <v>0.15</v>
      </c>
      <c r="G44" s="17">
        <v>0</v>
      </c>
      <c r="H44" s="17">
        <f>F44*AE44</f>
        <v>0</v>
      </c>
      <c r="I44" s="17">
        <f>J44-H44</f>
        <v>0</v>
      </c>
      <c r="J44" s="17">
        <f>F44*G44</f>
        <v>0</v>
      </c>
      <c r="K44" s="17">
        <v>1.01665</v>
      </c>
      <c r="L44" s="17">
        <f>F44*K44</f>
        <v>0.1524975</v>
      </c>
      <c r="M44" s="29" t="s">
        <v>434</v>
      </c>
      <c r="P44" s="34">
        <f>IF(AG44="5",J44,0)</f>
        <v>0</v>
      </c>
      <c r="R44" s="34">
        <f>IF(AG44="1",H44,0)</f>
        <v>0</v>
      </c>
      <c r="S44" s="34">
        <f>IF(AG44="1",I44,0)</f>
        <v>0</v>
      </c>
      <c r="T44" s="34">
        <f>IF(AG44="7",H44,0)</f>
        <v>0</v>
      </c>
      <c r="U44" s="34">
        <f>IF(AG44="7",I44,0)</f>
        <v>0</v>
      </c>
      <c r="V44" s="34">
        <f>IF(AG44="2",H44,0)</f>
        <v>0</v>
      </c>
      <c r="W44" s="34">
        <f>IF(AG44="2",I44,0)</f>
        <v>0</v>
      </c>
      <c r="X44" s="34">
        <f>IF(AG44="0",J44,0)</f>
        <v>0</v>
      </c>
      <c r="Y44" s="26"/>
      <c r="Z44" s="17">
        <f>IF(AD44=0,J44,0)</f>
        <v>0</v>
      </c>
      <c r="AA44" s="17">
        <f>IF(AD44=15,J44,0)</f>
        <v>0</v>
      </c>
      <c r="AB44" s="17">
        <f>IF(AD44=21,J44,0)</f>
        <v>0</v>
      </c>
      <c r="AD44" s="34">
        <v>21</v>
      </c>
      <c r="AE44" s="34">
        <f>G44*0.661159478435306</f>
        <v>0</v>
      </c>
      <c r="AF44" s="34">
        <f>G44*(1-0.661159478435306)</f>
        <v>0</v>
      </c>
      <c r="AG44" s="29" t="s">
        <v>7</v>
      </c>
      <c r="AM44" s="34">
        <f>F44*AE44</f>
        <v>0</v>
      </c>
      <c r="AN44" s="34">
        <f>F44*AF44</f>
        <v>0</v>
      </c>
      <c r="AO44" s="35" t="s">
        <v>453</v>
      </c>
      <c r="AP44" s="35" t="s">
        <v>483</v>
      </c>
      <c r="AQ44" s="26" t="s">
        <v>491</v>
      </c>
      <c r="AS44" s="34">
        <f>AM44+AN44</f>
        <v>0</v>
      </c>
      <c r="AT44" s="34">
        <f>G44/(100-AU44)*100</f>
        <v>0</v>
      </c>
      <c r="AU44" s="34">
        <v>0</v>
      </c>
      <c r="AV44" s="34">
        <f>L44</f>
        <v>0.1524975</v>
      </c>
    </row>
    <row r="45" spans="1:37" ht="12.75">
      <c r="A45" s="5"/>
      <c r="B45" s="13"/>
      <c r="C45" s="13" t="s">
        <v>12</v>
      </c>
      <c r="D45" s="92" t="s">
        <v>292</v>
      </c>
      <c r="E45" s="93"/>
      <c r="F45" s="93"/>
      <c r="G45" s="93"/>
      <c r="H45" s="37">
        <f>SUM(H46:H46)</f>
        <v>0</v>
      </c>
      <c r="I45" s="37">
        <f>SUM(I46:I46)</f>
        <v>0</v>
      </c>
      <c r="J45" s="37">
        <f>H45+I45</f>
        <v>0</v>
      </c>
      <c r="K45" s="26"/>
      <c r="L45" s="37">
        <f>SUM(L46:L46)</f>
        <v>0.1354353</v>
      </c>
      <c r="M45" s="26"/>
      <c r="Y45" s="26"/>
      <c r="AI45" s="37">
        <f>SUM(Z46:Z46)</f>
        <v>0</v>
      </c>
      <c r="AJ45" s="37">
        <f>SUM(AA46:AA46)</f>
        <v>0</v>
      </c>
      <c r="AK45" s="37">
        <f>SUM(AB46:AB46)</f>
        <v>0</v>
      </c>
    </row>
    <row r="46" spans="1:48" ht="12.75">
      <c r="A46" s="4" t="s">
        <v>30</v>
      </c>
      <c r="B46" s="4"/>
      <c r="C46" s="4" t="s">
        <v>148</v>
      </c>
      <c r="D46" s="4" t="s">
        <v>293</v>
      </c>
      <c r="E46" s="4" t="s">
        <v>414</v>
      </c>
      <c r="F46" s="17">
        <v>58.63</v>
      </c>
      <c r="G46" s="17">
        <v>0</v>
      </c>
      <c r="H46" s="17">
        <f>F46*AE46</f>
        <v>0</v>
      </c>
      <c r="I46" s="17">
        <f>J46-H46</f>
        <v>0</v>
      </c>
      <c r="J46" s="17">
        <f>F46*G46</f>
        <v>0</v>
      </c>
      <c r="K46" s="17">
        <v>0.00231</v>
      </c>
      <c r="L46" s="17">
        <f>F46*K46</f>
        <v>0.1354353</v>
      </c>
      <c r="M46" s="29" t="s">
        <v>434</v>
      </c>
      <c r="P46" s="34">
        <f>IF(AG46="5",J46,0)</f>
        <v>0</v>
      </c>
      <c r="R46" s="34">
        <f>IF(AG46="1",H46,0)</f>
        <v>0</v>
      </c>
      <c r="S46" s="34">
        <f>IF(AG46="1",I46,0)</f>
        <v>0</v>
      </c>
      <c r="T46" s="34">
        <f>IF(AG46="7",H46,0)</f>
        <v>0</v>
      </c>
      <c r="U46" s="34">
        <f>IF(AG46="7",I46,0)</f>
        <v>0</v>
      </c>
      <c r="V46" s="34">
        <f>IF(AG46="2",H46,0)</f>
        <v>0</v>
      </c>
      <c r="W46" s="34">
        <f>IF(AG46="2",I46,0)</f>
        <v>0</v>
      </c>
      <c r="X46" s="34">
        <f>IF(AG46="0",J46,0)</f>
        <v>0</v>
      </c>
      <c r="Y46" s="26"/>
      <c r="Z46" s="17">
        <f>IF(AD46=0,J46,0)</f>
        <v>0</v>
      </c>
      <c r="AA46" s="17">
        <f>IF(AD46=15,J46,0)</f>
        <v>0</v>
      </c>
      <c r="AB46" s="17">
        <f>IF(AD46=21,J46,0)</f>
        <v>0</v>
      </c>
      <c r="AD46" s="34">
        <v>21</v>
      </c>
      <c r="AE46" s="34">
        <f>G46*0.53764192139738</f>
        <v>0</v>
      </c>
      <c r="AF46" s="34">
        <f>G46*(1-0.53764192139738)</f>
        <v>0</v>
      </c>
      <c r="AG46" s="29" t="s">
        <v>7</v>
      </c>
      <c r="AM46" s="34">
        <f>F46*AE46</f>
        <v>0</v>
      </c>
      <c r="AN46" s="34">
        <f>F46*AF46</f>
        <v>0</v>
      </c>
      <c r="AO46" s="35" t="s">
        <v>454</v>
      </c>
      <c r="AP46" s="35" t="s">
        <v>454</v>
      </c>
      <c r="AQ46" s="26" t="s">
        <v>491</v>
      </c>
      <c r="AS46" s="34">
        <f>AM46+AN46</f>
        <v>0</v>
      </c>
      <c r="AT46" s="34">
        <f>G46/(100-AU46)*100</f>
        <v>0</v>
      </c>
      <c r="AU46" s="34">
        <v>0</v>
      </c>
      <c r="AV46" s="34">
        <f>L46</f>
        <v>0.1354353</v>
      </c>
    </row>
    <row r="47" spans="1:37" ht="12.75">
      <c r="A47" s="5"/>
      <c r="B47" s="13"/>
      <c r="C47" s="13" t="s">
        <v>67</v>
      </c>
      <c r="D47" s="92" t="s">
        <v>294</v>
      </c>
      <c r="E47" s="93"/>
      <c r="F47" s="93"/>
      <c r="G47" s="93"/>
      <c r="H47" s="37">
        <f>SUM(H48:H50)</f>
        <v>0</v>
      </c>
      <c r="I47" s="37">
        <f>SUM(I48:I50)</f>
        <v>0</v>
      </c>
      <c r="J47" s="37">
        <f>H47+I47</f>
        <v>0</v>
      </c>
      <c r="K47" s="26"/>
      <c r="L47" s="37">
        <f>SUM(L48:L50)</f>
        <v>3.0720518</v>
      </c>
      <c r="M47" s="26"/>
      <c r="Y47" s="26"/>
      <c r="AI47" s="37">
        <f>SUM(Z48:Z50)</f>
        <v>0</v>
      </c>
      <c r="AJ47" s="37">
        <f>SUM(AA48:AA50)</f>
        <v>0</v>
      </c>
      <c r="AK47" s="37">
        <f>SUM(AB48:AB50)</f>
        <v>0</v>
      </c>
    </row>
    <row r="48" spans="1:48" ht="12.75">
      <c r="A48" s="4" t="s">
        <v>31</v>
      </c>
      <c r="B48" s="4"/>
      <c r="C48" s="4" t="s">
        <v>149</v>
      </c>
      <c r="D48" s="4" t="s">
        <v>295</v>
      </c>
      <c r="E48" s="4" t="s">
        <v>414</v>
      </c>
      <c r="F48" s="17">
        <v>5.98</v>
      </c>
      <c r="G48" s="17">
        <v>0</v>
      </c>
      <c r="H48" s="17">
        <f>F48*AE48</f>
        <v>0</v>
      </c>
      <c r="I48" s="17">
        <f>J48-H48</f>
        <v>0</v>
      </c>
      <c r="J48" s="17">
        <f>F48*G48</f>
        <v>0</v>
      </c>
      <c r="K48" s="17">
        <v>4E-05</v>
      </c>
      <c r="L48" s="17">
        <f>F48*K48</f>
        <v>0.00023920000000000004</v>
      </c>
      <c r="M48" s="29" t="s">
        <v>434</v>
      </c>
      <c r="P48" s="34">
        <f>IF(AG48="5",J48,0)</f>
        <v>0</v>
      </c>
      <c r="R48" s="34">
        <f>IF(AG48="1",H48,0)</f>
        <v>0</v>
      </c>
      <c r="S48" s="34">
        <f>IF(AG48="1",I48,0)</f>
        <v>0</v>
      </c>
      <c r="T48" s="34">
        <f>IF(AG48="7",H48,0)</f>
        <v>0</v>
      </c>
      <c r="U48" s="34">
        <f>IF(AG48="7",I48,0)</f>
        <v>0</v>
      </c>
      <c r="V48" s="34">
        <f>IF(AG48="2",H48,0)</f>
        <v>0</v>
      </c>
      <c r="W48" s="34">
        <f>IF(AG48="2",I48,0)</f>
        <v>0</v>
      </c>
      <c r="X48" s="34">
        <f>IF(AG48="0",J48,0)</f>
        <v>0</v>
      </c>
      <c r="Y48" s="26"/>
      <c r="Z48" s="17">
        <f>IF(AD48=0,J48,0)</f>
        <v>0</v>
      </c>
      <c r="AA48" s="17">
        <f>IF(AD48=15,J48,0)</f>
        <v>0</v>
      </c>
      <c r="AB48" s="17">
        <f>IF(AD48=21,J48,0)</f>
        <v>0</v>
      </c>
      <c r="AD48" s="34">
        <v>21</v>
      </c>
      <c r="AE48" s="34">
        <f>G48*0.385112359550562</f>
        <v>0</v>
      </c>
      <c r="AF48" s="34">
        <f>G48*(1-0.385112359550562)</f>
        <v>0</v>
      </c>
      <c r="AG48" s="29" t="s">
        <v>7</v>
      </c>
      <c r="AM48" s="34">
        <f>F48*AE48</f>
        <v>0</v>
      </c>
      <c r="AN48" s="34">
        <f>F48*AF48</f>
        <v>0</v>
      </c>
      <c r="AO48" s="35" t="s">
        <v>455</v>
      </c>
      <c r="AP48" s="35" t="s">
        <v>454</v>
      </c>
      <c r="AQ48" s="26" t="s">
        <v>491</v>
      </c>
      <c r="AS48" s="34">
        <f>AM48+AN48</f>
        <v>0</v>
      </c>
      <c r="AT48" s="34">
        <f>G48/(100-AU48)*100</f>
        <v>0</v>
      </c>
      <c r="AU48" s="34">
        <v>0</v>
      </c>
      <c r="AV48" s="34">
        <f>L48</f>
        <v>0.00023920000000000004</v>
      </c>
    </row>
    <row r="49" spans="1:48" ht="12.75">
      <c r="A49" s="4" t="s">
        <v>32</v>
      </c>
      <c r="B49" s="4"/>
      <c r="C49" s="4" t="s">
        <v>150</v>
      </c>
      <c r="D49" s="4" t="s">
        <v>296</v>
      </c>
      <c r="E49" s="4" t="s">
        <v>414</v>
      </c>
      <c r="F49" s="17">
        <v>18.92</v>
      </c>
      <c r="G49" s="17">
        <v>0</v>
      </c>
      <c r="H49" s="17">
        <f>F49*AE49</f>
        <v>0</v>
      </c>
      <c r="I49" s="17">
        <f>J49-H49</f>
        <v>0</v>
      </c>
      <c r="J49" s="17">
        <f>F49*G49</f>
        <v>0</v>
      </c>
      <c r="K49" s="17">
        <v>0.04414</v>
      </c>
      <c r="L49" s="17">
        <f>F49*K49</f>
        <v>0.8351288</v>
      </c>
      <c r="M49" s="29" t="s">
        <v>434</v>
      </c>
      <c r="P49" s="34">
        <f>IF(AG49="5",J49,0)</f>
        <v>0</v>
      </c>
      <c r="R49" s="34">
        <f>IF(AG49="1",H49,0)</f>
        <v>0</v>
      </c>
      <c r="S49" s="34">
        <f>IF(AG49="1",I49,0)</f>
        <v>0</v>
      </c>
      <c r="T49" s="34">
        <f>IF(AG49="7",H49,0)</f>
        <v>0</v>
      </c>
      <c r="U49" s="34">
        <f>IF(AG49="7",I49,0)</f>
        <v>0</v>
      </c>
      <c r="V49" s="34">
        <f>IF(AG49="2",H49,0)</f>
        <v>0</v>
      </c>
      <c r="W49" s="34">
        <f>IF(AG49="2",I49,0)</f>
        <v>0</v>
      </c>
      <c r="X49" s="34">
        <f>IF(AG49="0",J49,0)</f>
        <v>0</v>
      </c>
      <c r="Y49" s="26"/>
      <c r="Z49" s="17">
        <f>IF(AD49=0,J49,0)</f>
        <v>0</v>
      </c>
      <c r="AA49" s="17">
        <f>IF(AD49=15,J49,0)</f>
        <v>0</v>
      </c>
      <c r="AB49" s="17">
        <f>IF(AD49=21,J49,0)</f>
        <v>0</v>
      </c>
      <c r="AD49" s="34">
        <v>21</v>
      </c>
      <c r="AE49" s="34">
        <f>G49*0.20625</f>
        <v>0</v>
      </c>
      <c r="AF49" s="34">
        <f>G49*(1-0.20625)</f>
        <v>0</v>
      </c>
      <c r="AG49" s="29" t="s">
        <v>7</v>
      </c>
      <c r="AM49" s="34">
        <f>F49*AE49</f>
        <v>0</v>
      </c>
      <c r="AN49" s="34">
        <f>F49*AF49</f>
        <v>0</v>
      </c>
      <c r="AO49" s="35" t="s">
        <v>455</v>
      </c>
      <c r="AP49" s="35" t="s">
        <v>454</v>
      </c>
      <c r="AQ49" s="26" t="s">
        <v>491</v>
      </c>
      <c r="AS49" s="34">
        <f>AM49+AN49</f>
        <v>0</v>
      </c>
      <c r="AT49" s="34">
        <f>G49/(100-AU49)*100</f>
        <v>0</v>
      </c>
      <c r="AU49" s="34">
        <v>0</v>
      </c>
      <c r="AV49" s="34">
        <f>L49</f>
        <v>0.8351288</v>
      </c>
    </row>
    <row r="50" spans="1:48" ht="12.75">
      <c r="A50" s="4" t="s">
        <v>33</v>
      </c>
      <c r="B50" s="4"/>
      <c r="C50" s="4" t="s">
        <v>151</v>
      </c>
      <c r="D50" s="4" t="s">
        <v>297</v>
      </c>
      <c r="E50" s="4" t="s">
        <v>414</v>
      </c>
      <c r="F50" s="17">
        <v>46.93</v>
      </c>
      <c r="G50" s="17">
        <v>0</v>
      </c>
      <c r="H50" s="17">
        <f>F50*AE50</f>
        <v>0</v>
      </c>
      <c r="I50" s="17">
        <f>J50-H50</f>
        <v>0</v>
      </c>
      <c r="J50" s="17">
        <f>F50*G50</f>
        <v>0</v>
      </c>
      <c r="K50" s="17">
        <v>0.04766</v>
      </c>
      <c r="L50" s="17">
        <f>F50*K50</f>
        <v>2.2366838</v>
      </c>
      <c r="M50" s="29" t="s">
        <v>434</v>
      </c>
      <c r="P50" s="34">
        <f>IF(AG50="5",J50,0)</f>
        <v>0</v>
      </c>
      <c r="R50" s="34">
        <f>IF(AG50="1",H50,0)</f>
        <v>0</v>
      </c>
      <c r="S50" s="34">
        <f>IF(AG50="1",I50,0)</f>
        <v>0</v>
      </c>
      <c r="T50" s="34">
        <f>IF(AG50="7",H50,0)</f>
        <v>0</v>
      </c>
      <c r="U50" s="34">
        <f>IF(AG50="7",I50,0)</f>
        <v>0</v>
      </c>
      <c r="V50" s="34">
        <f>IF(AG50="2",H50,0)</f>
        <v>0</v>
      </c>
      <c r="W50" s="34">
        <f>IF(AG50="2",I50,0)</f>
        <v>0</v>
      </c>
      <c r="X50" s="34">
        <f>IF(AG50="0",J50,0)</f>
        <v>0</v>
      </c>
      <c r="Y50" s="26"/>
      <c r="Z50" s="17">
        <f>IF(AD50=0,J50,0)</f>
        <v>0</v>
      </c>
      <c r="AA50" s="17">
        <f>IF(AD50=15,J50,0)</f>
        <v>0</v>
      </c>
      <c r="AB50" s="17">
        <f>IF(AD50=21,J50,0)</f>
        <v>0</v>
      </c>
      <c r="AD50" s="34">
        <v>21</v>
      </c>
      <c r="AE50" s="34">
        <f>G50*0.162557308400419</f>
        <v>0</v>
      </c>
      <c r="AF50" s="34">
        <f>G50*(1-0.162557308400419)</f>
        <v>0</v>
      </c>
      <c r="AG50" s="29" t="s">
        <v>7</v>
      </c>
      <c r="AM50" s="34">
        <f>F50*AE50</f>
        <v>0</v>
      </c>
      <c r="AN50" s="34">
        <f>F50*AF50</f>
        <v>0</v>
      </c>
      <c r="AO50" s="35" t="s">
        <v>455</v>
      </c>
      <c r="AP50" s="35" t="s">
        <v>454</v>
      </c>
      <c r="AQ50" s="26" t="s">
        <v>491</v>
      </c>
      <c r="AS50" s="34">
        <f>AM50+AN50</f>
        <v>0</v>
      </c>
      <c r="AT50" s="34">
        <f>G50/(100-AU50)*100</f>
        <v>0</v>
      </c>
      <c r="AU50" s="34">
        <v>0</v>
      </c>
      <c r="AV50" s="34">
        <f>L50</f>
        <v>2.2366838</v>
      </c>
    </row>
    <row r="51" spans="1:37" ht="12.75">
      <c r="A51" s="5"/>
      <c r="B51" s="13"/>
      <c r="C51" s="13" t="s">
        <v>68</v>
      </c>
      <c r="D51" s="92" t="s">
        <v>298</v>
      </c>
      <c r="E51" s="93"/>
      <c r="F51" s="93"/>
      <c r="G51" s="93"/>
      <c r="H51" s="37">
        <f>SUM(H52:H54)</f>
        <v>0</v>
      </c>
      <c r="I51" s="37">
        <f>SUM(I52:I54)</f>
        <v>0</v>
      </c>
      <c r="J51" s="37">
        <f>H51+I51</f>
        <v>0</v>
      </c>
      <c r="K51" s="26"/>
      <c r="L51" s="37">
        <f>SUM(L52:L54)</f>
        <v>2.8449685999999996</v>
      </c>
      <c r="M51" s="26"/>
      <c r="Y51" s="26"/>
      <c r="AI51" s="37">
        <f>SUM(Z52:Z54)</f>
        <v>0</v>
      </c>
      <c r="AJ51" s="37">
        <f>SUM(AA52:AA54)</f>
        <v>0</v>
      </c>
      <c r="AK51" s="37">
        <f>SUM(AB52:AB54)</f>
        <v>0</v>
      </c>
    </row>
    <row r="52" spans="1:48" ht="12.75">
      <c r="A52" s="4" t="s">
        <v>34</v>
      </c>
      <c r="B52" s="4"/>
      <c r="C52" s="4" t="s">
        <v>152</v>
      </c>
      <c r="D52" s="4" t="s">
        <v>299</v>
      </c>
      <c r="E52" s="4" t="s">
        <v>414</v>
      </c>
      <c r="F52" s="17">
        <v>5.91</v>
      </c>
      <c r="G52" s="17">
        <v>0</v>
      </c>
      <c r="H52" s="17">
        <f>F52*AE52</f>
        <v>0</v>
      </c>
      <c r="I52" s="17">
        <f>J52-H52</f>
        <v>0</v>
      </c>
      <c r="J52" s="17">
        <f>F52*G52</f>
        <v>0</v>
      </c>
      <c r="K52" s="17">
        <v>4E-05</v>
      </c>
      <c r="L52" s="17">
        <f>F52*K52</f>
        <v>0.00023640000000000003</v>
      </c>
      <c r="M52" s="29" t="s">
        <v>434</v>
      </c>
      <c r="P52" s="34">
        <f>IF(AG52="5",J52,0)</f>
        <v>0</v>
      </c>
      <c r="R52" s="34">
        <f>IF(AG52="1",H52,0)</f>
        <v>0</v>
      </c>
      <c r="S52" s="34">
        <f>IF(AG52="1",I52,0)</f>
        <v>0</v>
      </c>
      <c r="T52" s="34">
        <f>IF(AG52="7",H52,0)</f>
        <v>0</v>
      </c>
      <c r="U52" s="34">
        <f>IF(AG52="7",I52,0)</f>
        <v>0</v>
      </c>
      <c r="V52" s="34">
        <f>IF(AG52="2",H52,0)</f>
        <v>0</v>
      </c>
      <c r="W52" s="34">
        <f>IF(AG52="2",I52,0)</f>
        <v>0</v>
      </c>
      <c r="X52" s="34">
        <f>IF(AG52="0",J52,0)</f>
        <v>0</v>
      </c>
      <c r="Y52" s="26"/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4">
        <v>21</v>
      </c>
      <c r="AE52" s="34">
        <f>G52*0.386834733893557</f>
        <v>0</v>
      </c>
      <c r="AF52" s="34">
        <f>G52*(1-0.386834733893557)</f>
        <v>0</v>
      </c>
      <c r="AG52" s="29" t="s">
        <v>7</v>
      </c>
      <c r="AM52" s="34">
        <f>F52*AE52</f>
        <v>0</v>
      </c>
      <c r="AN52" s="34">
        <f>F52*AF52</f>
        <v>0</v>
      </c>
      <c r="AO52" s="35" t="s">
        <v>456</v>
      </c>
      <c r="AP52" s="35" t="s">
        <v>454</v>
      </c>
      <c r="AQ52" s="26" t="s">
        <v>491</v>
      </c>
      <c r="AS52" s="34">
        <f>AM52+AN52</f>
        <v>0</v>
      </c>
      <c r="AT52" s="34">
        <f>G52/(100-AU52)*100</f>
        <v>0</v>
      </c>
      <c r="AU52" s="34">
        <v>0</v>
      </c>
      <c r="AV52" s="34">
        <f>L52</f>
        <v>0.00023640000000000003</v>
      </c>
    </row>
    <row r="53" spans="1:48" ht="12.75">
      <c r="A53" s="4" t="s">
        <v>35</v>
      </c>
      <c r="B53" s="4"/>
      <c r="C53" s="4" t="s">
        <v>153</v>
      </c>
      <c r="D53" s="4" t="s">
        <v>300</v>
      </c>
      <c r="E53" s="4" t="s">
        <v>414</v>
      </c>
      <c r="F53" s="17">
        <v>58.66</v>
      </c>
      <c r="G53" s="17">
        <v>0</v>
      </c>
      <c r="H53" s="17">
        <f>F53*AE53</f>
        <v>0</v>
      </c>
      <c r="I53" s="17">
        <f>J53-H53</f>
        <v>0</v>
      </c>
      <c r="J53" s="17">
        <f>F53*G53</f>
        <v>0</v>
      </c>
      <c r="K53" s="17">
        <v>0.04817</v>
      </c>
      <c r="L53" s="17">
        <f>F53*K53</f>
        <v>2.8256521999999995</v>
      </c>
      <c r="M53" s="29" t="s">
        <v>434</v>
      </c>
      <c r="P53" s="34">
        <f>IF(AG53="5",J53,0)</f>
        <v>0</v>
      </c>
      <c r="R53" s="34">
        <f>IF(AG53="1",H53,0)</f>
        <v>0</v>
      </c>
      <c r="S53" s="34">
        <f>IF(AG53="1",I53,0)</f>
        <v>0</v>
      </c>
      <c r="T53" s="34">
        <f>IF(AG53="7",H53,0)</f>
        <v>0</v>
      </c>
      <c r="U53" s="34">
        <f>IF(AG53="7",I53,0)</f>
        <v>0</v>
      </c>
      <c r="V53" s="34">
        <f>IF(AG53="2",H53,0)</f>
        <v>0</v>
      </c>
      <c r="W53" s="34">
        <f>IF(AG53="2",I53,0)</f>
        <v>0</v>
      </c>
      <c r="X53" s="34">
        <f>IF(AG53="0",J53,0)</f>
        <v>0</v>
      </c>
      <c r="Y53" s="26"/>
      <c r="Z53" s="17">
        <f>IF(AD53=0,J53,0)</f>
        <v>0</v>
      </c>
      <c r="AA53" s="17">
        <f>IF(AD53=15,J53,0)</f>
        <v>0</v>
      </c>
      <c r="AB53" s="17">
        <f>IF(AD53=21,J53,0)</f>
        <v>0</v>
      </c>
      <c r="AD53" s="34">
        <v>21</v>
      </c>
      <c r="AE53" s="34">
        <f>G53*0.160320284697509</f>
        <v>0</v>
      </c>
      <c r="AF53" s="34">
        <f>G53*(1-0.160320284697509)</f>
        <v>0</v>
      </c>
      <c r="AG53" s="29" t="s">
        <v>7</v>
      </c>
      <c r="AM53" s="34">
        <f>F53*AE53</f>
        <v>0</v>
      </c>
      <c r="AN53" s="34">
        <f>F53*AF53</f>
        <v>0</v>
      </c>
      <c r="AO53" s="35" t="s">
        <v>456</v>
      </c>
      <c r="AP53" s="35" t="s">
        <v>454</v>
      </c>
      <c r="AQ53" s="26" t="s">
        <v>491</v>
      </c>
      <c r="AS53" s="34">
        <f>AM53+AN53</f>
        <v>0</v>
      </c>
      <c r="AT53" s="34">
        <f>G53/(100-AU53)*100</f>
        <v>0</v>
      </c>
      <c r="AU53" s="34">
        <v>0</v>
      </c>
      <c r="AV53" s="34">
        <f>L53</f>
        <v>2.8256521999999995</v>
      </c>
    </row>
    <row r="54" spans="1:48" ht="12.75">
      <c r="A54" s="4" t="s">
        <v>36</v>
      </c>
      <c r="B54" s="4"/>
      <c r="C54" s="4" t="s">
        <v>154</v>
      </c>
      <c r="D54" s="4" t="s">
        <v>301</v>
      </c>
      <c r="E54" s="4" t="s">
        <v>413</v>
      </c>
      <c r="F54" s="17">
        <v>1.8</v>
      </c>
      <c r="G54" s="17">
        <v>0</v>
      </c>
      <c r="H54" s="17">
        <f>F54*AE54</f>
        <v>0</v>
      </c>
      <c r="I54" s="17">
        <f>J54-H54</f>
        <v>0</v>
      </c>
      <c r="J54" s="17">
        <f>F54*G54</f>
        <v>0</v>
      </c>
      <c r="K54" s="17">
        <v>0.0106</v>
      </c>
      <c r="L54" s="17">
        <f>F54*K54</f>
        <v>0.01908</v>
      </c>
      <c r="M54" s="29" t="s">
        <v>434</v>
      </c>
      <c r="P54" s="34">
        <f>IF(AG54="5",J54,0)</f>
        <v>0</v>
      </c>
      <c r="R54" s="34">
        <f>IF(AG54="1",H54,0)</f>
        <v>0</v>
      </c>
      <c r="S54" s="34">
        <f>IF(AG54="1",I54,0)</f>
        <v>0</v>
      </c>
      <c r="T54" s="34">
        <f>IF(AG54="7",H54,0)</f>
        <v>0</v>
      </c>
      <c r="U54" s="34">
        <f>IF(AG54="7",I54,0)</f>
        <v>0</v>
      </c>
      <c r="V54" s="34">
        <f>IF(AG54="2",H54,0)</f>
        <v>0</v>
      </c>
      <c r="W54" s="34">
        <f>IF(AG54="2",I54,0)</f>
        <v>0</v>
      </c>
      <c r="X54" s="34">
        <f>IF(AG54="0",J54,0)</f>
        <v>0</v>
      </c>
      <c r="Y54" s="26"/>
      <c r="Z54" s="17">
        <f>IF(AD54=0,J54,0)</f>
        <v>0</v>
      </c>
      <c r="AA54" s="17">
        <f>IF(AD54=15,J54,0)</f>
        <v>0</v>
      </c>
      <c r="AB54" s="17">
        <f>IF(AD54=21,J54,0)</f>
        <v>0</v>
      </c>
      <c r="AD54" s="34">
        <v>21</v>
      </c>
      <c r="AE54" s="34">
        <f>G54*0.282756998353329</f>
        <v>0</v>
      </c>
      <c r="AF54" s="34">
        <f>G54*(1-0.282756998353329)</f>
        <v>0</v>
      </c>
      <c r="AG54" s="29" t="s">
        <v>7</v>
      </c>
      <c r="AM54" s="34">
        <f>F54*AE54</f>
        <v>0</v>
      </c>
      <c r="AN54" s="34">
        <f>F54*AF54</f>
        <v>0</v>
      </c>
      <c r="AO54" s="35" t="s">
        <v>456</v>
      </c>
      <c r="AP54" s="35" t="s">
        <v>454</v>
      </c>
      <c r="AQ54" s="26" t="s">
        <v>491</v>
      </c>
      <c r="AS54" s="34">
        <f>AM54+AN54</f>
        <v>0</v>
      </c>
      <c r="AT54" s="34">
        <f>G54/(100-AU54)*100</f>
        <v>0</v>
      </c>
      <c r="AU54" s="34">
        <v>0</v>
      </c>
      <c r="AV54" s="34">
        <f>L54</f>
        <v>0.01908</v>
      </c>
    </row>
    <row r="55" spans="1:37" ht="12.75">
      <c r="A55" s="5"/>
      <c r="B55" s="13"/>
      <c r="C55" s="13" t="s">
        <v>69</v>
      </c>
      <c r="D55" s="92" t="s">
        <v>302</v>
      </c>
      <c r="E55" s="93"/>
      <c r="F55" s="93"/>
      <c r="G55" s="93"/>
      <c r="H55" s="37">
        <f>SUM(H56:H58)</f>
        <v>0</v>
      </c>
      <c r="I55" s="37">
        <f>SUM(I56:I58)</f>
        <v>0</v>
      </c>
      <c r="J55" s="37">
        <f>H55+I55</f>
        <v>0</v>
      </c>
      <c r="K55" s="26"/>
      <c r="L55" s="37">
        <f>SUM(L56:L58)</f>
        <v>2.9300500000000005</v>
      </c>
      <c r="M55" s="26"/>
      <c r="Y55" s="26"/>
      <c r="AI55" s="37">
        <f>SUM(Z56:Z58)</f>
        <v>0</v>
      </c>
      <c r="AJ55" s="37">
        <f>SUM(AA56:AA58)</f>
        <v>0</v>
      </c>
      <c r="AK55" s="37">
        <f>SUM(AB56:AB58)</f>
        <v>0</v>
      </c>
    </row>
    <row r="56" spans="1:48" ht="12.75">
      <c r="A56" s="4" t="s">
        <v>37</v>
      </c>
      <c r="B56" s="4"/>
      <c r="C56" s="4" t="s">
        <v>155</v>
      </c>
      <c r="D56" s="4" t="s">
        <v>303</v>
      </c>
      <c r="E56" s="4" t="s">
        <v>412</v>
      </c>
      <c r="F56" s="17">
        <v>0.81</v>
      </c>
      <c r="G56" s="17">
        <v>0</v>
      </c>
      <c r="H56" s="17">
        <f>F56*AE56</f>
        <v>0</v>
      </c>
      <c r="I56" s="17">
        <f>J56-H56</f>
        <v>0</v>
      </c>
      <c r="J56" s="17">
        <f>F56*G56</f>
        <v>0</v>
      </c>
      <c r="K56" s="17">
        <v>2.525</v>
      </c>
      <c r="L56" s="17">
        <f>F56*K56</f>
        <v>2.0452500000000002</v>
      </c>
      <c r="M56" s="29" t="s">
        <v>434</v>
      </c>
      <c r="P56" s="34">
        <f>IF(AG56="5",J56,0)</f>
        <v>0</v>
      </c>
      <c r="R56" s="34">
        <f>IF(AG56="1",H56,0)</f>
        <v>0</v>
      </c>
      <c r="S56" s="34">
        <f>IF(AG56="1",I56,0)</f>
        <v>0</v>
      </c>
      <c r="T56" s="34">
        <f>IF(AG56="7",H56,0)</f>
        <v>0</v>
      </c>
      <c r="U56" s="34">
        <f>IF(AG56="7",I56,0)</f>
        <v>0</v>
      </c>
      <c r="V56" s="34">
        <f>IF(AG56="2",H56,0)</f>
        <v>0</v>
      </c>
      <c r="W56" s="34">
        <f>IF(AG56="2",I56,0)</f>
        <v>0</v>
      </c>
      <c r="X56" s="34">
        <f>IF(AG56="0",J56,0)</f>
        <v>0</v>
      </c>
      <c r="Y56" s="26"/>
      <c r="Z56" s="17">
        <f>IF(AD56=0,J56,0)</f>
        <v>0</v>
      </c>
      <c r="AA56" s="17">
        <f>IF(AD56=15,J56,0)</f>
        <v>0</v>
      </c>
      <c r="AB56" s="17">
        <f>IF(AD56=21,J56,0)</f>
        <v>0</v>
      </c>
      <c r="AD56" s="34">
        <v>21</v>
      </c>
      <c r="AE56" s="34">
        <f>G56*0.710696446825459</f>
        <v>0</v>
      </c>
      <c r="AF56" s="34">
        <f>G56*(1-0.710696446825459)</f>
        <v>0</v>
      </c>
      <c r="AG56" s="29" t="s">
        <v>7</v>
      </c>
      <c r="AM56" s="34">
        <f>F56*AE56</f>
        <v>0</v>
      </c>
      <c r="AN56" s="34">
        <f>F56*AF56</f>
        <v>0</v>
      </c>
      <c r="AO56" s="35" t="s">
        <v>457</v>
      </c>
      <c r="AP56" s="35" t="s">
        <v>454</v>
      </c>
      <c r="AQ56" s="26" t="s">
        <v>491</v>
      </c>
      <c r="AS56" s="34">
        <f>AM56+AN56</f>
        <v>0</v>
      </c>
      <c r="AT56" s="34">
        <f>G56/(100-AU56)*100</f>
        <v>0</v>
      </c>
      <c r="AU56" s="34">
        <v>0</v>
      </c>
      <c r="AV56" s="34">
        <f>L56</f>
        <v>2.0452500000000002</v>
      </c>
    </row>
    <row r="57" spans="1:48" ht="12.75">
      <c r="A57" s="4" t="s">
        <v>38</v>
      </c>
      <c r="B57" s="4"/>
      <c r="C57" s="4" t="s">
        <v>156</v>
      </c>
      <c r="D57" s="4" t="s">
        <v>304</v>
      </c>
      <c r="E57" s="4" t="s">
        <v>414</v>
      </c>
      <c r="F57" s="17">
        <v>5.53</v>
      </c>
      <c r="G57" s="17">
        <v>0</v>
      </c>
      <c r="H57" s="17">
        <f>F57*AE57</f>
        <v>0</v>
      </c>
      <c r="I57" s="17">
        <f>J57-H57</f>
        <v>0</v>
      </c>
      <c r="J57" s="17">
        <f>F57*G57</f>
        <v>0</v>
      </c>
      <c r="K57" s="17">
        <v>0.16</v>
      </c>
      <c r="L57" s="17">
        <f>F57*K57</f>
        <v>0.8848</v>
      </c>
      <c r="M57" s="29" t="s">
        <v>434</v>
      </c>
      <c r="P57" s="34">
        <f>IF(AG57="5",J57,0)</f>
        <v>0</v>
      </c>
      <c r="R57" s="34">
        <f>IF(AG57="1",H57,0)</f>
        <v>0</v>
      </c>
      <c r="S57" s="34">
        <f>IF(AG57="1",I57,0)</f>
        <v>0</v>
      </c>
      <c r="T57" s="34">
        <f>IF(AG57="7",H57,0)</f>
        <v>0</v>
      </c>
      <c r="U57" s="34">
        <f>IF(AG57="7",I57,0)</f>
        <v>0</v>
      </c>
      <c r="V57" s="34">
        <f>IF(AG57="2",H57,0)</f>
        <v>0</v>
      </c>
      <c r="W57" s="34">
        <f>IF(AG57="2",I57,0)</f>
        <v>0</v>
      </c>
      <c r="X57" s="34">
        <f>IF(AG57="0",J57,0)</f>
        <v>0</v>
      </c>
      <c r="Y57" s="26"/>
      <c r="Z57" s="17">
        <f>IF(AD57=0,J57,0)</f>
        <v>0</v>
      </c>
      <c r="AA57" s="17">
        <f>IF(AD57=15,J57,0)</f>
        <v>0</v>
      </c>
      <c r="AB57" s="17">
        <f>IF(AD57=21,J57,0)</f>
        <v>0</v>
      </c>
      <c r="AD57" s="34">
        <v>21</v>
      </c>
      <c r="AE57" s="34">
        <f>G57*0.831857410881801</f>
        <v>0</v>
      </c>
      <c r="AF57" s="34">
        <f>G57*(1-0.831857410881801)</f>
        <v>0</v>
      </c>
      <c r="AG57" s="29" t="s">
        <v>7</v>
      </c>
      <c r="AM57" s="34">
        <f>F57*AE57</f>
        <v>0</v>
      </c>
      <c r="AN57" s="34">
        <f>F57*AF57</f>
        <v>0</v>
      </c>
      <c r="AO57" s="35" t="s">
        <v>457</v>
      </c>
      <c r="AP57" s="35" t="s">
        <v>454</v>
      </c>
      <c r="AQ57" s="26" t="s">
        <v>491</v>
      </c>
      <c r="AS57" s="34">
        <f>AM57+AN57</f>
        <v>0</v>
      </c>
      <c r="AT57" s="34">
        <f>G57/(100-AU57)*100</f>
        <v>0</v>
      </c>
      <c r="AU57" s="34">
        <v>0</v>
      </c>
      <c r="AV57" s="34">
        <f>L57</f>
        <v>0.8848</v>
      </c>
    </row>
    <row r="58" spans="1:48" ht="12.75">
      <c r="A58" s="4" t="s">
        <v>39</v>
      </c>
      <c r="B58" s="4"/>
      <c r="C58" s="4" t="s">
        <v>157</v>
      </c>
      <c r="D58" s="4" t="s">
        <v>305</v>
      </c>
      <c r="E58" s="4" t="s">
        <v>414</v>
      </c>
      <c r="F58" s="17">
        <v>5.53</v>
      </c>
      <c r="G58" s="17">
        <v>0</v>
      </c>
      <c r="H58" s="17">
        <f>F58*AE58</f>
        <v>0</v>
      </c>
      <c r="I58" s="17">
        <f>J58-H58</f>
        <v>0</v>
      </c>
      <c r="J58" s="17">
        <f>F58*G58</f>
        <v>0</v>
      </c>
      <c r="K58" s="17">
        <v>0</v>
      </c>
      <c r="L58" s="17">
        <f>F58*K58</f>
        <v>0</v>
      </c>
      <c r="M58" s="29" t="s">
        <v>434</v>
      </c>
      <c r="P58" s="34">
        <f>IF(AG58="5",J58,0)</f>
        <v>0</v>
      </c>
      <c r="R58" s="34">
        <f>IF(AG58="1",H58,0)</f>
        <v>0</v>
      </c>
      <c r="S58" s="34">
        <f>IF(AG58="1",I58,0)</f>
        <v>0</v>
      </c>
      <c r="T58" s="34">
        <f>IF(AG58="7",H58,0)</f>
        <v>0</v>
      </c>
      <c r="U58" s="34">
        <f>IF(AG58="7",I58,0)</f>
        <v>0</v>
      </c>
      <c r="V58" s="34">
        <f>IF(AG58="2",H58,0)</f>
        <v>0</v>
      </c>
      <c r="W58" s="34">
        <f>IF(AG58="2",I58,0)</f>
        <v>0</v>
      </c>
      <c r="X58" s="34">
        <f>IF(AG58="0",J58,0)</f>
        <v>0</v>
      </c>
      <c r="Y58" s="26"/>
      <c r="Z58" s="17">
        <f>IF(AD58=0,J58,0)</f>
        <v>0</v>
      </c>
      <c r="AA58" s="17">
        <f>IF(AD58=15,J58,0)</f>
        <v>0</v>
      </c>
      <c r="AB58" s="17">
        <f>IF(AD58=21,J58,0)</f>
        <v>0</v>
      </c>
      <c r="AD58" s="34">
        <v>21</v>
      </c>
      <c r="AE58" s="34">
        <f>G58*0.262127078114325</f>
        <v>0</v>
      </c>
      <c r="AF58" s="34">
        <f>G58*(1-0.262127078114325)</f>
        <v>0</v>
      </c>
      <c r="AG58" s="29" t="s">
        <v>7</v>
      </c>
      <c r="AM58" s="34">
        <f>F58*AE58</f>
        <v>0</v>
      </c>
      <c r="AN58" s="34">
        <f>F58*AF58</f>
        <v>0</v>
      </c>
      <c r="AO58" s="35" t="s">
        <v>457</v>
      </c>
      <c r="AP58" s="35" t="s">
        <v>454</v>
      </c>
      <c r="AQ58" s="26" t="s">
        <v>491</v>
      </c>
      <c r="AS58" s="34">
        <f>AM58+AN58</f>
        <v>0</v>
      </c>
      <c r="AT58" s="34">
        <f>G58/(100-AU58)*100</f>
        <v>0</v>
      </c>
      <c r="AU58" s="34">
        <v>0</v>
      </c>
      <c r="AV58" s="34">
        <f>L58</f>
        <v>0</v>
      </c>
    </row>
    <row r="59" spans="1:37" ht="12.75">
      <c r="A59" s="5"/>
      <c r="B59" s="13"/>
      <c r="C59" s="13" t="s">
        <v>70</v>
      </c>
      <c r="D59" s="92" t="s">
        <v>306</v>
      </c>
      <c r="E59" s="93"/>
      <c r="F59" s="93"/>
      <c r="G59" s="93"/>
      <c r="H59" s="37">
        <f>SUM(H60:H62)</f>
        <v>0</v>
      </c>
      <c r="I59" s="37">
        <f>SUM(I60:I62)</f>
        <v>0</v>
      </c>
      <c r="J59" s="37">
        <f>H59+I59</f>
        <v>0</v>
      </c>
      <c r="K59" s="26"/>
      <c r="L59" s="37">
        <f>SUM(L60:L62)</f>
        <v>0.104826</v>
      </c>
      <c r="M59" s="26"/>
      <c r="Y59" s="26"/>
      <c r="AI59" s="37">
        <f>SUM(Z60:Z62)</f>
        <v>0</v>
      </c>
      <c r="AJ59" s="37">
        <f>SUM(AA60:AA62)</f>
        <v>0</v>
      </c>
      <c r="AK59" s="37">
        <f>SUM(AB60:AB62)</f>
        <v>0</v>
      </c>
    </row>
    <row r="60" spans="1:48" ht="12.75">
      <c r="A60" s="4" t="s">
        <v>40</v>
      </c>
      <c r="B60" s="4"/>
      <c r="C60" s="4" t="s">
        <v>158</v>
      </c>
      <c r="D60" s="4" t="s">
        <v>307</v>
      </c>
      <c r="E60" s="4" t="s">
        <v>416</v>
      </c>
      <c r="F60" s="17">
        <v>3</v>
      </c>
      <c r="G60" s="17">
        <v>0</v>
      </c>
      <c r="H60" s="17">
        <f>F60*AE60</f>
        <v>0</v>
      </c>
      <c r="I60" s="17">
        <f>J60-H60</f>
        <v>0</v>
      </c>
      <c r="J60" s="17">
        <f>F60*G60</f>
        <v>0</v>
      </c>
      <c r="K60" s="17">
        <v>0.02897</v>
      </c>
      <c r="L60" s="17">
        <f>F60*K60</f>
        <v>0.08691</v>
      </c>
      <c r="M60" s="29" t="s">
        <v>434</v>
      </c>
      <c r="P60" s="34">
        <f>IF(AG60="5",J60,0)</f>
        <v>0</v>
      </c>
      <c r="R60" s="34">
        <f>IF(AG60="1",H60,0)</f>
        <v>0</v>
      </c>
      <c r="S60" s="34">
        <f>IF(AG60="1",I60,0)</f>
        <v>0</v>
      </c>
      <c r="T60" s="34">
        <f>IF(AG60="7",H60,0)</f>
        <v>0</v>
      </c>
      <c r="U60" s="34">
        <f>IF(AG60="7",I60,0)</f>
        <v>0</v>
      </c>
      <c r="V60" s="34">
        <f>IF(AG60="2",H60,0)</f>
        <v>0</v>
      </c>
      <c r="W60" s="34">
        <f>IF(AG60="2",I60,0)</f>
        <v>0</v>
      </c>
      <c r="X60" s="34">
        <f>IF(AG60="0",J60,0)</f>
        <v>0</v>
      </c>
      <c r="Y60" s="26"/>
      <c r="Z60" s="17">
        <f>IF(AD60=0,J60,0)</f>
        <v>0</v>
      </c>
      <c r="AA60" s="17">
        <f>IF(AD60=15,J60,0)</f>
        <v>0</v>
      </c>
      <c r="AB60" s="17">
        <f>IF(AD60=21,J60,0)</f>
        <v>0</v>
      </c>
      <c r="AD60" s="34">
        <v>21</v>
      </c>
      <c r="AE60" s="34">
        <f>G60*0.577294874431734</f>
        <v>0</v>
      </c>
      <c r="AF60" s="34">
        <f>G60*(1-0.577294874431734)</f>
        <v>0</v>
      </c>
      <c r="AG60" s="29" t="s">
        <v>7</v>
      </c>
      <c r="AM60" s="34">
        <f>F60*AE60</f>
        <v>0</v>
      </c>
      <c r="AN60" s="34">
        <f>F60*AF60</f>
        <v>0</v>
      </c>
      <c r="AO60" s="35" t="s">
        <v>458</v>
      </c>
      <c r="AP60" s="35" t="s">
        <v>454</v>
      </c>
      <c r="AQ60" s="26" t="s">
        <v>491</v>
      </c>
      <c r="AS60" s="34">
        <f>AM60+AN60</f>
        <v>0</v>
      </c>
      <c r="AT60" s="34">
        <f>G60/(100-AU60)*100</f>
        <v>0</v>
      </c>
      <c r="AU60" s="34">
        <v>0</v>
      </c>
      <c r="AV60" s="34">
        <f>L60</f>
        <v>0.08691</v>
      </c>
    </row>
    <row r="61" spans="1:48" ht="12.75">
      <c r="A61" s="4" t="s">
        <v>41</v>
      </c>
      <c r="B61" s="4"/>
      <c r="C61" s="4" t="s">
        <v>159</v>
      </c>
      <c r="D61" s="4" t="s">
        <v>308</v>
      </c>
      <c r="E61" s="4" t="s">
        <v>413</v>
      </c>
      <c r="F61" s="17">
        <v>1.2</v>
      </c>
      <c r="G61" s="17">
        <v>0</v>
      </c>
      <c r="H61" s="17">
        <f>F61*AE61</f>
        <v>0</v>
      </c>
      <c r="I61" s="17">
        <f>J61-H61</f>
        <v>0</v>
      </c>
      <c r="J61" s="17">
        <f>F61*G61</f>
        <v>0</v>
      </c>
      <c r="K61" s="17">
        <v>0.01493</v>
      </c>
      <c r="L61" s="17">
        <f>F61*K61</f>
        <v>0.017916</v>
      </c>
      <c r="M61" s="29" t="s">
        <v>434</v>
      </c>
      <c r="P61" s="34">
        <f>IF(AG61="5",J61,0)</f>
        <v>0</v>
      </c>
      <c r="R61" s="34">
        <f>IF(AG61="1",H61,0)</f>
        <v>0</v>
      </c>
      <c r="S61" s="34">
        <f>IF(AG61="1",I61,0)</f>
        <v>0</v>
      </c>
      <c r="T61" s="34">
        <f>IF(AG61="7",H61,0)</f>
        <v>0</v>
      </c>
      <c r="U61" s="34">
        <f>IF(AG61="7",I61,0)</f>
        <v>0</v>
      </c>
      <c r="V61" s="34">
        <f>IF(AG61="2",H61,0)</f>
        <v>0</v>
      </c>
      <c r="W61" s="34">
        <f>IF(AG61="2",I61,0)</f>
        <v>0</v>
      </c>
      <c r="X61" s="34">
        <f>IF(AG61="0",J61,0)</f>
        <v>0</v>
      </c>
      <c r="Y61" s="26"/>
      <c r="Z61" s="17">
        <f>IF(AD61=0,J61,0)</f>
        <v>0</v>
      </c>
      <c r="AA61" s="17">
        <f>IF(AD61=15,J61,0)</f>
        <v>0</v>
      </c>
      <c r="AB61" s="17">
        <f>IF(AD61=21,J61,0)</f>
        <v>0</v>
      </c>
      <c r="AD61" s="34">
        <v>21</v>
      </c>
      <c r="AE61" s="34">
        <f>G61*0.704622144112478</f>
        <v>0</v>
      </c>
      <c r="AF61" s="34">
        <f>G61*(1-0.704622144112478)</f>
        <v>0</v>
      </c>
      <c r="AG61" s="29" t="s">
        <v>7</v>
      </c>
      <c r="AM61" s="34">
        <f>F61*AE61</f>
        <v>0</v>
      </c>
      <c r="AN61" s="34">
        <f>F61*AF61</f>
        <v>0</v>
      </c>
      <c r="AO61" s="35" t="s">
        <v>458</v>
      </c>
      <c r="AP61" s="35" t="s">
        <v>454</v>
      </c>
      <c r="AQ61" s="26" t="s">
        <v>491</v>
      </c>
      <c r="AS61" s="34">
        <f>AM61+AN61</f>
        <v>0</v>
      </c>
      <c r="AT61" s="34">
        <f>G61/(100-AU61)*100</f>
        <v>0</v>
      </c>
      <c r="AU61" s="34">
        <v>0</v>
      </c>
      <c r="AV61" s="34">
        <f>L61</f>
        <v>0.017916</v>
      </c>
    </row>
    <row r="62" spans="1:48" ht="12.75">
      <c r="A62" s="4" t="s">
        <v>42</v>
      </c>
      <c r="B62" s="4"/>
      <c r="C62" s="4" t="s">
        <v>160</v>
      </c>
      <c r="D62" s="4" t="s">
        <v>309</v>
      </c>
      <c r="E62" s="4" t="s">
        <v>415</v>
      </c>
      <c r="F62" s="17">
        <v>80.72372</v>
      </c>
      <c r="G62" s="17">
        <v>0</v>
      </c>
      <c r="H62" s="17">
        <f>F62*AE62</f>
        <v>0</v>
      </c>
      <c r="I62" s="17">
        <f>J62-H62</f>
        <v>0</v>
      </c>
      <c r="J62" s="17">
        <f>F62*G62</f>
        <v>0</v>
      </c>
      <c r="K62" s="17">
        <v>0</v>
      </c>
      <c r="L62" s="17">
        <f>F62*K62</f>
        <v>0</v>
      </c>
      <c r="M62" s="29" t="s">
        <v>434</v>
      </c>
      <c r="P62" s="34">
        <f>IF(AG62="5",J62,0)</f>
        <v>0</v>
      </c>
      <c r="R62" s="34">
        <f>IF(AG62="1",H62,0)</f>
        <v>0</v>
      </c>
      <c r="S62" s="34">
        <f>IF(AG62="1",I62,0)</f>
        <v>0</v>
      </c>
      <c r="T62" s="34">
        <f>IF(AG62="7",H62,0)</f>
        <v>0</v>
      </c>
      <c r="U62" s="34">
        <f>IF(AG62="7",I62,0)</f>
        <v>0</v>
      </c>
      <c r="V62" s="34">
        <f>IF(AG62="2",H62,0)</f>
        <v>0</v>
      </c>
      <c r="W62" s="34">
        <f>IF(AG62="2",I62,0)</f>
        <v>0</v>
      </c>
      <c r="X62" s="34">
        <f>IF(AG62="0",J62,0)</f>
        <v>0</v>
      </c>
      <c r="Y62" s="26"/>
      <c r="Z62" s="17">
        <f>IF(AD62=0,J62,0)</f>
        <v>0</v>
      </c>
      <c r="AA62" s="17">
        <f>IF(AD62=15,J62,0)</f>
        <v>0</v>
      </c>
      <c r="AB62" s="17">
        <f>IF(AD62=21,J62,0)</f>
        <v>0</v>
      </c>
      <c r="AD62" s="34">
        <v>21</v>
      </c>
      <c r="AE62" s="34">
        <f>G62*0</f>
        <v>0</v>
      </c>
      <c r="AF62" s="34">
        <f>G62*(1-0)</f>
        <v>0</v>
      </c>
      <c r="AG62" s="29" t="s">
        <v>11</v>
      </c>
      <c r="AM62" s="34">
        <f>F62*AE62</f>
        <v>0</v>
      </c>
      <c r="AN62" s="34">
        <f>F62*AF62</f>
        <v>0</v>
      </c>
      <c r="AO62" s="35" t="s">
        <v>458</v>
      </c>
      <c r="AP62" s="35" t="s">
        <v>454</v>
      </c>
      <c r="AQ62" s="26" t="s">
        <v>491</v>
      </c>
      <c r="AS62" s="34">
        <f>AM62+AN62</f>
        <v>0</v>
      </c>
      <c r="AT62" s="34">
        <f>G62/(100-AU62)*100</f>
        <v>0</v>
      </c>
      <c r="AU62" s="34">
        <v>0</v>
      </c>
      <c r="AV62" s="34">
        <f>L62</f>
        <v>0</v>
      </c>
    </row>
    <row r="63" spans="1:37" ht="12.75">
      <c r="A63" s="5"/>
      <c r="B63" s="13"/>
      <c r="C63" s="13" t="s">
        <v>161</v>
      </c>
      <c r="D63" s="92" t="s">
        <v>310</v>
      </c>
      <c r="E63" s="93"/>
      <c r="F63" s="93"/>
      <c r="G63" s="93"/>
      <c r="H63" s="37">
        <f>SUM(H64:H66)</f>
        <v>0</v>
      </c>
      <c r="I63" s="37">
        <f>SUM(I64:I66)</f>
        <v>0</v>
      </c>
      <c r="J63" s="37">
        <f>H63+I63</f>
        <v>0</v>
      </c>
      <c r="K63" s="26"/>
      <c r="L63" s="37">
        <f>SUM(L64:L66)</f>
        <v>0.2366</v>
      </c>
      <c r="M63" s="26"/>
      <c r="Y63" s="26"/>
      <c r="AI63" s="37">
        <f>SUM(Z64:Z66)</f>
        <v>0</v>
      </c>
      <c r="AJ63" s="37">
        <f>SUM(AA64:AA66)</f>
        <v>0</v>
      </c>
      <c r="AK63" s="37">
        <f>SUM(AB64:AB66)</f>
        <v>0</v>
      </c>
    </row>
    <row r="64" spans="1:48" ht="12.75">
      <c r="A64" s="4" t="s">
        <v>43</v>
      </c>
      <c r="B64" s="4"/>
      <c r="C64" s="4" t="s">
        <v>162</v>
      </c>
      <c r="D64" s="4" t="s">
        <v>311</v>
      </c>
      <c r="E64" s="4" t="s">
        <v>414</v>
      </c>
      <c r="F64" s="17">
        <v>45.5</v>
      </c>
      <c r="G64" s="17">
        <v>0</v>
      </c>
      <c r="H64" s="17">
        <f>F64*AE64</f>
        <v>0</v>
      </c>
      <c r="I64" s="17">
        <f>J64-H64</f>
        <v>0</v>
      </c>
      <c r="J64" s="17">
        <f>F64*G64</f>
        <v>0</v>
      </c>
      <c r="K64" s="17">
        <v>0.00033</v>
      </c>
      <c r="L64" s="17">
        <f>F64*K64</f>
        <v>0.015015</v>
      </c>
      <c r="M64" s="29" t="s">
        <v>434</v>
      </c>
      <c r="P64" s="34">
        <f>IF(AG64="5",J64,0)</f>
        <v>0</v>
      </c>
      <c r="R64" s="34">
        <f>IF(AG64="1",H64,0)</f>
        <v>0</v>
      </c>
      <c r="S64" s="34">
        <f>IF(AG64="1",I64,0)</f>
        <v>0</v>
      </c>
      <c r="T64" s="34">
        <f>IF(AG64="7",H64,0)</f>
        <v>0</v>
      </c>
      <c r="U64" s="34">
        <f>IF(AG64="7",I64,0)</f>
        <v>0</v>
      </c>
      <c r="V64" s="34">
        <f>IF(AG64="2",H64,0)</f>
        <v>0</v>
      </c>
      <c r="W64" s="34">
        <f>IF(AG64="2",I64,0)</f>
        <v>0</v>
      </c>
      <c r="X64" s="34">
        <f>IF(AG64="0",J64,0)</f>
        <v>0</v>
      </c>
      <c r="Y64" s="26"/>
      <c r="Z64" s="17">
        <f>IF(AD64=0,J64,0)</f>
        <v>0</v>
      </c>
      <c r="AA64" s="17">
        <f>IF(AD64=15,J64,0)</f>
        <v>0</v>
      </c>
      <c r="AB64" s="17">
        <f>IF(AD64=21,J64,0)</f>
        <v>0</v>
      </c>
      <c r="AD64" s="34">
        <v>21</v>
      </c>
      <c r="AE64" s="34">
        <f>G64*0.658196721311475</f>
        <v>0</v>
      </c>
      <c r="AF64" s="34">
        <f>G64*(1-0.658196721311475)</f>
        <v>0</v>
      </c>
      <c r="AG64" s="29" t="s">
        <v>13</v>
      </c>
      <c r="AM64" s="34">
        <f>F64*AE64</f>
        <v>0</v>
      </c>
      <c r="AN64" s="34">
        <f>F64*AF64</f>
        <v>0</v>
      </c>
      <c r="AO64" s="35" t="s">
        <v>459</v>
      </c>
      <c r="AP64" s="35" t="s">
        <v>484</v>
      </c>
      <c r="AQ64" s="26" t="s">
        <v>491</v>
      </c>
      <c r="AS64" s="34">
        <f>AM64+AN64</f>
        <v>0</v>
      </c>
      <c r="AT64" s="34">
        <f>G64/(100-AU64)*100</f>
        <v>0</v>
      </c>
      <c r="AU64" s="34">
        <v>0</v>
      </c>
      <c r="AV64" s="34">
        <f>L64</f>
        <v>0.015015</v>
      </c>
    </row>
    <row r="65" spans="1:48" ht="12.75">
      <c r="A65" s="4" t="s">
        <v>44</v>
      </c>
      <c r="B65" s="4"/>
      <c r="C65" s="4" t="s">
        <v>163</v>
      </c>
      <c r="D65" s="4" t="s">
        <v>312</v>
      </c>
      <c r="E65" s="4" t="s">
        <v>414</v>
      </c>
      <c r="F65" s="17">
        <v>45.5</v>
      </c>
      <c r="G65" s="17">
        <v>0</v>
      </c>
      <c r="H65" s="17">
        <f>F65*AE65</f>
        <v>0</v>
      </c>
      <c r="I65" s="17">
        <f>J65-H65</f>
        <v>0</v>
      </c>
      <c r="J65" s="17">
        <f>F65*G65</f>
        <v>0</v>
      </c>
      <c r="K65" s="17">
        <v>0.00487</v>
      </c>
      <c r="L65" s="17">
        <f>F65*K65</f>
        <v>0.221585</v>
      </c>
      <c r="M65" s="29" t="s">
        <v>434</v>
      </c>
      <c r="P65" s="34">
        <f>IF(AG65="5",J65,0)</f>
        <v>0</v>
      </c>
      <c r="R65" s="34">
        <f>IF(AG65="1",H65,0)</f>
        <v>0</v>
      </c>
      <c r="S65" s="34">
        <f>IF(AG65="1",I65,0)</f>
        <v>0</v>
      </c>
      <c r="T65" s="34">
        <f>IF(AG65="7",H65,0)</f>
        <v>0</v>
      </c>
      <c r="U65" s="34">
        <f>IF(AG65="7",I65,0)</f>
        <v>0</v>
      </c>
      <c r="V65" s="34">
        <f>IF(AG65="2",H65,0)</f>
        <v>0</v>
      </c>
      <c r="W65" s="34">
        <f>IF(AG65="2",I65,0)</f>
        <v>0</v>
      </c>
      <c r="X65" s="34">
        <f>IF(AG65="0",J65,0)</f>
        <v>0</v>
      </c>
      <c r="Y65" s="26"/>
      <c r="Z65" s="17">
        <f>IF(AD65=0,J65,0)</f>
        <v>0</v>
      </c>
      <c r="AA65" s="17">
        <f>IF(AD65=15,J65,0)</f>
        <v>0</v>
      </c>
      <c r="AB65" s="17">
        <f>IF(AD65=21,J65,0)</f>
        <v>0</v>
      </c>
      <c r="AD65" s="34">
        <v>21</v>
      </c>
      <c r="AE65" s="34">
        <f>G65*0.601257142857143</f>
        <v>0</v>
      </c>
      <c r="AF65" s="34">
        <f>G65*(1-0.601257142857143)</f>
        <v>0</v>
      </c>
      <c r="AG65" s="29" t="s">
        <v>13</v>
      </c>
      <c r="AM65" s="34">
        <f>F65*AE65</f>
        <v>0</v>
      </c>
      <c r="AN65" s="34">
        <f>F65*AF65</f>
        <v>0</v>
      </c>
      <c r="AO65" s="35" t="s">
        <v>459</v>
      </c>
      <c r="AP65" s="35" t="s">
        <v>484</v>
      </c>
      <c r="AQ65" s="26" t="s">
        <v>491</v>
      </c>
      <c r="AS65" s="34">
        <f>AM65+AN65</f>
        <v>0</v>
      </c>
      <c r="AT65" s="34">
        <f>G65/(100-AU65)*100</f>
        <v>0</v>
      </c>
      <c r="AU65" s="34">
        <v>0</v>
      </c>
      <c r="AV65" s="34">
        <f>L65</f>
        <v>0.221585</v>
      </c>
    </row>
    <row r="66" spans="1:48" ht="12.75">
      <c r="A66" s="4" t="s">
        <v>45</v>
      </c>
      <c r="B66" s="4"/>
      <c r="C66" s="4" t="s">
        <v>164</v>
      </c>
      <c r="D66" s="4" t="s">
        <v>313</v>
      </c>
      <c r="E66" s="4" t="s">
        <v>415</v>
      </c>
      <c r="F66" s="17">
        <v>0.2366</v>
      </c>
      <c r="G66" s="17">
        <v>0</v>
      </c>
      <c r="H66" s="17">
        <f>F66*AE66</f>
        <v>0</v>
      </c>
      <c r="I66" s="17">
        <f>J66-H66</f>
        <v>0</v>
      </c>
      <c r="J66" s="17">
        <f>F66*G66</f>
        <v>0</v>
      </c>
      <c r="K66" s="17">
        <v>0</v>
      </c>
      <c r="L66" s="17">
        <f>F66*K66</f>
        <v>0</v>
      </c>
      <c r="M66" s="29" t="s">
        <v>434</v>
      </c>
      <c r="P66" s="34">
        <f>IF(AG66="5",J66,0)</f>
        <v>0</v>
      </c>
      <c r="R66" s="34">
        <f>IF(AG66="1",H66,0)</f>
        <v>0</v>
      </c>
      <c r="S66" s="34">
        <f>IF(AG66="1",I66,0)</f>
        <v>0</v>
      </c>
      <c r="T66" s="34">
        <f>IF(AG66="7",H66,0)</f>
        <v>0</v>
      </c>
      <c r="U66" s="34">
        <f>IF(AG66="7",I66,0)</f>
        <v>0</v>
      </c>
      <c r="V66" s="34">
        <f>IF(AG66="2",H66,0)</f>
        <v>0</v>
      </c>
      <c r="W66" s="34">
        <f>IF(AG66="2",I66,0)</f>
        <v>0</v>
      </c>
      <c r="X66" s="34">
        <f>IF(AG66="0",J66,0)</f>
        <v>0</v>
      </c>
      <c r="Y66" s="26"/>
      <c r="Z66" s="17">
        <f>IF(AD66=0,J66,0)</f>
        <v>0</v>
      </c>
      <c r="AA66" s="17">
        <f>IF(AD66=15,J66,0)</f>
        <v>0</v>
      </c>
      <c r="AB66" s="17">
        <f>IF(AD66=21,J66,0)</f>
        <v>0</v>
      </c>
      <c r="AD66" s="34">
        <v>21</v>
      </c>
      <c r="AE66" s="34">
        <f>G66*0</f>
        <v>0</v>
      </c>
      <c r="AF66" s="34">
        <f>G66*(1-0)</f>
        <v>0</v>
      </c>
      <c r="AG66" s="29" t="s">
        <v>11</v>
      </c>
      <c r="AM66" s="34">
        <f>F66*AE66</f>
        <v>0</v>
      </c>
      <c r="AN66" s="34">
        <f>F66*AF66</f>
        <v>0</v>
      </c>
      <c r="AO66" s="35" t="s">
        <v>459</v>
      </c>
      <c r="AP66" s="35" t="s">
        <v>484</v>
      </c>
      <c r="AQ66" s="26" t="s">
        <v>491</v>
      </c>
      <c r="AS66" s="34">
        <f>AM66+AN66</f>
        <v>0</v>
      </c>
      <c r="AT66" s="34">
        <f>G66/(100-AU66)*100</f>
        <v>0</v>
      </c>
      <c r="AU66" s="34">
        <v>0</v>
      </c>
      <c r="AV66" s="34">
        <f>L66</f>
        <v>0</v>
      </c>
    </row>
    <row r="67" spans="1:37" ht="12.75">
      <c r="A67" s="5"/>
      <c r="B67" s="13"/>
      <c r="C67" s="13" t="s">
        <v>165</v>
      </c>
      <c r="D67" s="92" t="s">
        <v>314</v>
      </c>
      <c r="E67" s="93"/>
      <c r="F67" s="93"/>
      <c r="G67" s="93"/>
      <c r="H67" s="37">
        <f>SUM(H68:H71)</f>
        <v>0</v>
      </c>
      <c r="I67" s="37">
        <f>SUM(I68:I71)</f>
        <v>0</v>
      </c>
      <c r="J67" s="37">
        <f>H67+I67</f>
        <v>0</v>
      </c>
      <c r="K67" s="26"/>
      <c r="L67" s="37">
        <f>SUM(L68:L71)</f>
        <v>0.5187113999999999</v>
      </c>
      <c r="M67" s="26"/>
      <c r="Y67" s="26"/>
      <c r="AI67" s="37">
        <f>SUM(Z68:Z71)</f>
        <v>0</v>
      </c>
      <c r="AJ67" s="37">
        <f>SUM(AA68:AA71)</f>
        <v>0</v>
      </c>
      <c r="AK67" s="37">
        <f>SUM(AB68:AB71)</f>
        <v>0</v>
      </c>
    </row>
    <row r="68" spans="1:48" ht="12.75">
      <c r="A68" s="4" t="s">
        <v>46</v>
      </c>
      <c r="B68" s="4"/>
      <c r="C68" s="4" t="s">
        <v>166</v>
      </c>
      <c r="D68" s="4" t="s">
        <v>315</v>
      </c>
      <c r="E68" s="4" t="s">
        <v>414</v>
      </c>
      <c r="F68" s="17">
        <v>52.3</v>
      </c>
      <c r="G68" s="17">
        <v>0</v>
      </c>
      <c r="H68" s="17">
        <f>F68*AE68</f>
        <v>0</v>
      </c>
      <c r="I68" s="17">
        <f>J68-H68</f>
        <v>0</v>
      </c>
      <c r="J68" s="17">
        <f>F68*G68</f>
        <v>0</v>
      </c>
      <c r="K68" s="17">
        <v>0.0007</v>
      </c>
      <c r="L68" s="17">
        <f>F68*K68</f>
        <v>0.03661</v>
      </c>
      <c r="M68" s="29" t="s">
        <v>434</v>
      </c>
      <c r="P68" s="34">
        <f>IF(AG68="5",J68,0)</f>
        <v>0</v>
      </c>
      <c r="R68" s="34">
        <f>IF(AG68="1",H68,0)</f>
        <v>0</v>
      </c>
      <c r="S68" s="34">
        <f>IF(AG68="1",I68,0)</f>
        <v>0</v>
      </c>
      <c r="T68" s="34">
        <f>IF(AG68="7",H68,0)</f>
        <v>0</v>
      </c>
      <c r="U68" s="34">
        <f>IF(AG68="7",I68,0)</f>
        <v>0</v>
      </c>
      <c r="V68" s="34">
        <f>IF(AG68="2",H68,0)</f>
        <v>0</v>
      </c>
      <c r="W68" s="34">
        <f>IF(AG68="2",I68,0)</f>
        <v>0</v>
      </c>
      <c r="X68" s="34">
        <f>IF(AG68="0",J68,0)</f>
        <v>0</v>
      </c>
      <c r="Y68" s="26"/>
      <c r="Z68" s="17">
        <f>IF(AD68=0,J68,0)</f>
        <v>0</v>
      </c>
      <c r="AA68" s="17">
        <f>IF(AD68=15,J68,0)</f>
        <v>0</v>
      </c>
      <c r="AB68" s="17">
        <f>IF(AD68=21,J68,0)</f>
        <v>0</v>
      </c>
      <c r="AD68" s="34">
        <v>21</v>
      </c>
      <c r="AE68" s="34">
        <f>G68*0.131484031739786</f>
        <v>0</v>
      </c>
      <c r="AF68" s="34">
        <f>G68*(1-0.131484031739786)</f>
        <v>0</v>
      </c>
      <c r="AG68" s="29" t="s">
        <v>13</v>
      </c>
      <c r="AM68" s="34">
        <f>F68*AE68</f>
        <v>0</v>
      </c>
      <c r="AN68" s="34">
        <f>F68*AF68</f>
        <v>0</v>
      </c>
      <c r="AO68" s="35" t="s">
        <v>460</v>
      </c>
      <c r="AP68" s="35" t="s">
        <v>484</v>
      </c>
      <c r="AQ68" s="26" t="s">
        <v>491</v>
      </c>
      <c r="AS68" s="34">
        <f>AM68+AN68</f>
        <v>0</v>
      </c>
      <c r="AT68" s="34">
        <f>G68/(100-AU68)*100</f>
        <v>0</v>
      </c>
      <c r="AU68" s="34">
        <v>0</v>
      </c>
      <c r="AV68" s="34">
        <f>L68</f>
        <v>0.03661</v>
      </c>
    </row>
    <row r="69" spans="1:48" ht="12.75">
      <c r="A69" s="6" t="s">
        <v>47</v>
      </c>
      <c r="B69" s="6"/>
      <c r="C69" s="6" t="s">
        <v>167</v>
      </c>
      <c r="D69" s="6" t="s">
        <v>316</v>
      </c>
      <c r="E69" s="6" t="s">
        <v>414</v>
      </c>
      <c r="F69" s="18">
        <v>57.53</v>
      </c>
      <c r="G69" s="18">
        <v>0</v>
      </c>
      <c r="H69" s="18">
        <f>F69*AE69</f>
        <v>0</v>
      </c>
      <c r="I69" s="18">
        <f>J69-H69</f>
        <v>0</v>
      </c>
      <c r="J69" s="18">
        <f>F69*G69</f>
        <v>0</v>
      </c>
      <c r="K69" s="18">
        <v>0.00388</v>
      </c>
      <c r="L69" s="18">
        <f>F69*K69</f>
        <v>0.2232164</v>
      </c>
      <c r="M69" s="30" t="s">
        <v>434</v>
      </c>
      <c r="P69" s="34">
        <f>IF(AG69="5",J69,0)</f>
        <v>0</v>
      </c>
      <c r="R69" s="34">
        <f>IF(AG69="1",H69,0)</f>
        <v>0</v>
      </c>
      <c r="S69" s="34">
        <f>IF(AG69="1",I69,0)</f>
        <v>0</v>
      </c>
      <c r="T69" s="34">
        <f>IF(AG69="7",H69,0)</f>
        <v>0</v>
      </c>
      <c r="U69" s="34">
        <f>IF(AG69="7",I69,0)</f>
        <v>0</v>
      </c>
      <c r="V69" s="34">
        <f>IF(AG69="2",H69,0)</f>
        <v>0</v>
      </c>
      <c r="W69" s="34">
        <f>IF(AG69="2",I69,0)</f>
        <v>0</v>
      </c>
      <c r="X69" s="34">
        <f>IF(AG69="0",J69,0)</f>
        <v>0</v>
      </c>
      <c r="Y69" s="26"/>
      <c r="Z69" s="18">
        <f>IF(AD69=0,J69,0)</f>
        <v>0</v>
      </c>
      <c r="AA69" s="18">
        <f>IF(AD69=15,J69,0)</f>
        <v>0</v>
      </c>
      <c r="AB69" s="18">
        <f>IF(AD69=21,J69,0)</f>
        <v>0</v>
      </c>
      <c r="AD69" s="34">
        <v>21</v>
      </c>
      <c r="AE69" s="34">
        <f>G69*1</f>
        <v>0</v>
      </c>
      <c r="AF69" s="34">
        <f>G69*(1-1)</f>
        <v>0</v>
      </c>
      <c r="AG69" s="30" t="s">
        <v>13</v>
      </c>
      <c r="AM69" s="34">
        <f>F69*AE69</f>
        <v>0</v>
      </c>
      <c r="AN69" s="34">
        <f>F69*AF69</f>
        <v>0</v>
      </c>
      <c r="AO69" s="35" t="s">
        <v>460</v>
      </c>
      <c r="AP69" s="35" t="s">
        <v>484</v>
      </c>
      <c r="AQ69" s="26" t="s">
        <v>491</v>
      </c>
      <c r="AS69" s="34">
        <f>AM69+AN69</f>
        <v>0</v>
      </c>
      <c r="AT69" s="34">
        <f>G69/(100-AU69)*100</f>
        <v>0</v>
      </c>
      <c r="AU69" s="34">
        <v>0</v>
      </c>
      <c r="AV69" s="34">
        <f>L69</f>
        <v>0.2232164</v>
      </c>
    </row>
    <row r="70" spans="1:48" ht="12.75">
      <c r="A70" s="6" t="s">
        <v>48</v>
      </c>
      <c r="B70" s="6"/>
      <c r="C70" s="6" t="s">
        <v>168</v>
      </c>
      <c r="D70" s="6" t="s">
        <v>317</v>
      </c>
      <c r="E70" s="6" t="s">
        <v>414</v>
      </c>
      <c r="F70" s="18">
        <v>57.53</v>
      </c>
      <c r="G70" s="18">
        <v>0</v>
      </c>
      <c r="H70" s="18">
        <f>F70*AE70</f>
        <v>0</v>
      </c>
      <c r="I70" s="18">
        <f>J70-H70</f>
        <v>0</v>
      </c>
      <c r="J70" s="18">
        <f>F70*G70</f>
        <v>0</v>
      </c>
      <c r="K70" s="18">
        <v>0.0045</v>
      </c>
      <c r="L70" s="18">
        <f>F70*K70</f>
        <v>0.258885</v>
      </c>
      <c r="M70" s="30" t="s">
        <v>434</v>
      </c>
      <c r="P70" s="34">
        <f>IF(AG70="5",J70,0)</f>
        <v>0</v>
      </c>
      <c r="R70" s="34">
        <f>IF(AG70="1",H70,0)</f>
        <v>0</v>
      </c>
      <c r="S70" s="34">
        <f>IF(AG70="1",I70,0)</f>
        <v>0</v>
      </c>
      <c r="T70" s="34">
        <f>IF(AG70="7",H70,0)</f>
        <v>0</v>
      </c>
      <c r="U70" s="34">
        <f>IF(AG70="7",I70,0)</f>
        <v>0</v>
      </c>
      <c r="V70" s="34">
        <f>IF(AG70="2",H70,0)</f>
        <v>0</v>
      </c>
      <c r="W70" s="34">
        <f>IF(AG70="2",I70,0)</f>
        <v>0</v>
      </c>
      <c r="X70" s="34">
        <f>IF(AG70="0",J70,0)</f>
        <v>0</v>
      </c>
      <c r="Y70" s="26"/>
      <c r="Z70" s="18">
        <f>IF(AD70=0,J70,0)</f>
        <v>0</v>
      </c>
      <c r="AA70" s="18">
        <f>IF(AD70=15,J70,0)</f>
        <v>0</v>
      </c>
      <c r="AB70" s="18">
        <f>IF(AD70=21,J70,0)</f>
        <v>0</v>
      </c>
      <c r="AD70" s="34">
        <v>21</v>
      </c>
      <c r="AE70" s="34">
        <f>G70*1</f>
        <v>0</v>
      </c>
      <c r="AF70" s="34">
        <f>G70*(1-1)</f>
        <v>0</v>
      </c>
      <c r="AG70" s="30" t="s">
        <v>13</v>
      </c>
      <c r="AM70" s="34">
        <f>F70*AE70</f>
        <v>0</v>
      </c>
      <c r="AN70" s="34">
        <f>F70*AF70</f>
        <v>0</v>
      </c>
      <c r="AO70" s="35" t="s">
        <v>460</v>
      </c>
      <c r="AP70" s="35" t="s">
        <v>484</v>
      </c>
      <c r="AQ70" s="26" t="s">
        <v>491</v>
      </c>
      <c r="AS70" s="34">
        <f>AM70+AN70</f>
        <v>0</v>
      </c>
      <c r="AT70" s="34">
        <f>G70/(100-AU70)*100</f>
        <v>0</v>
      </c>
      <c r="AU70" s="34">
        <v>0</v>
      </c>
      <c r="AV70" s="34">
        <f>L70</f>
        <v>0.258885</v>
      </c>
    </row>
    <row r="71" spans="1:48" ht="12.75">
      <c r="A71" s="4" t="s">
        <v>49</v>
      </c>
      <c r="B71" s="4"/>
      <c r="C71" s="4" t="s">
        <v>169</v>
      </c>
      <c r="D71" s="4" t="s">
        <v>318</v>
      </c>
      <c r="E71" s="4" t="s">
        <v>415</v>
      </c>
      <c r="F71" s="17">
        <v>0.51871</v>
      </c>
      <c r="G71" s="17">
        <v>0</v>
      </c>
      <c r="H71" s="17">
        <f>F71*AE71</f>
        <v>0</v>
      </c>
      <c r="I71" s="17">
        <f>J71-H71</f>
        <v>0</v>
      </c>
      <c r="J71" s="17">
        <f>F71*G71</f>
        <v>0</v>
      </c>
      <c r="K71" s="17">
        <v>0</v>
      </c>
      <c r="L71" s="17">
        <f>F71*K71</f>
        <v>0</v>
      </c>
      <c r="M71" s="29" t="s">
        <v>434</v>
      </c>
      <c r="P71" s="34">
        <f>IF(AG71="5",J71,0)</f>
        <v>0</v>
      </c>
      <c r="R71" s="34">
        <f>IF(AG71="1",H71,0)</f>
        <v>0</v>
      </c>
      <c r="S71" s="34">
        <f>IF(AG71="1",I71,0)</f>
        <v>0</v>
      </c>
      <c r="T71" s="34">
        <f>IF(AG71="7",H71,0)</f>
        <v>0</v>
      </c>
      <c r="U71" s="34">
        <f>IF(AG71="7",I71,0)</f>
        <v>0</v>
      </c>
      <c r="V71" s="34">
        <f>IF(AG71="2",H71,0)</f>
        <v>0</v>
      </c>
      <c r="W71" s="34">
        <f>IF(AG71="2",I71,0)</f>
        <v>0</v>
      </c>
      <c r="X71" s="34">
        <f>IF(AG71="0",J71,0)</f>
        <v>0</v>
      </c>
      <c r="Y71" s="26"/>
      <c r="Z71" s="17">
        <f>IF(AD71=0,J71,0)</f>
        <v>0</v>
      </c>
      <c r="AA71" s="17">
        <f>IF(AD71=15,J71,0)</f>
        <v>0</v>
      </c>
      <c r="AB71" s="17">
        <f>IF(AD71=21,J71,0)</f>
        <v>0</v>
      </c>
      <c r="AD71" s="34">
        <v>21</v>
      </c>
      <c r="AE71" s="34">
        <f>G71*0</f>
        <v>0</v>
      </c>
      <c r="AF71" s="34">
        <f>G71*(1-0)</f>
        <v>0</v>
      </c>
      <c r="AG71" s="29" t="s">
        <v>11</v>
      </c>
      <c r="AM71" s="34">
        <f>F71*AE71</f>
        <v>0</v>
      </c>
      <c r="AN71" s="34">
        <f>F71*AF71</f>
        <v>0</v>
      </c>
      <c r="AO71" s="35" t="s">
        <v>460</v>
      </c>
      <c r="AP71" s="35" t="s">
        <v>484</v>
      </c>
      <c r="AQ71" s="26" t="s">
        <v>491</v>
      </c>
      <c r="AS71" s="34">
        <f>AM71+AN71</f>
        <v>0</v>
      </c>
      <c r="AT71" s="34">
        <f>G71/(100-AU71)*100</f>
        <v>0</v>
      </c>
      <c r="AU71" s="34">
        <v>0</v>
      </c>
      <c r="AV71" s="34">
        <f>L71</f>
        <v>0</v>
      </c>
    </row>
    <row r="72" spans="1:37" ht="12.75">
      <c r="A72" s="5"/>
      <c r="B72" s="13"/>
      <c r="C72" s="13" t="s">
        <v>170</v>
      </c>
      <c r="D72" s="92" t="s">
        <v>319</v>
      </c>
      <c r="E72" s="93"/>
      <c r="F72" s="93"/>
      <c r="G72" s="93"/>
      <c r="H72" s="37">
        <f>SUM(H73:H80)</f>
        <v>0</v>
      </c>
      <c r="I72" s="37">
        <f>SUM(I73:I80)</f>
        <v>0</v>
      </c>
      <c r="J72" s="37">
        <f>H72+I72</f>
        <v>0</v>
      </c>
      <c r="K72" s="26"/>
      <c r="L72" s="37">
        <f>SUM(L73:L80)</f>
        <v>0.09909539999999999</v>
      </c>
      <c r="M72" s="26"/>
      <c r="Y72" s="26"/>
      <c r="AI72" s="37">
        <f>SUM(Z73:Z80)</f>
        <v>0</v>
      </c>
      <c r="AJ72" s="37">
        <f>SUM(AA73:AA80)</f>
        <v>0</v>
      </c>
      <c r="AK72" s="37">
        <f>SUM(AB73:AB80)</f>
        <v>0</v>
      </c>
    </row>
    <row r="73" spans="1:48" ht="12.75">
      <c r="A73" s="4" t="s">
        <v>50</v>
      </c>
      <c r="B73" s="4"/>
      <c r="C73" s="4" t="s">
        <v>171</v>
      </c>
      <c r="D73" s="4" t="s">
        <v>320</v>
      </c>
      <c r="E73" s="4" t="s">
        <v>414</v>
      </c>
      <c r="F73" s="17">
        <v>19.89</v>
      </c>
      <c r="G73" s="17">
        <v>0</v>
      </c>
      <c r="H73" s="17">
        <f aca="true" t="shared" si="20" ref="H73:H80">F73*AE73</f>
        <v>0</v>
      </c>
      <c r="I73" s="17">
        <f aca="true" t="shared" si="21" ref="I73:I80">J73-H73</f>
        <v>0</v>
      </c>
      <c r="J73" s="17">
        <f aca="true" t="shared" si="22" ref="J73:J80">F73*G73</f>
        <v>0</v>
      </c>
      <c r="K73" s="17">
        <v>0.00083</v>
      </c>
      <c r="L73" s="17">
        <f aca="true" t="shared" si="23" ref="L73:L80">F73*K73</f>
        <v>0.0165087</v>
      </c>
      <c r="M73" s="29" t="s">
        <v>434</v>
      </c>
      <c r="P73" s="34">
        <f aca="true" t="shared" si="24" ref="P73:P80">IF(AG73="5",J73,0)</f>
        <v>0</v>
      </c>
      <c r="R73" s="34">
        <f aca="true" t="shared" si="25" ref="R73:R80">IF(AG73="1",H73,0)</f>
        <v>0</v>
      </c>
      <c r="S73" s="34">
        <f aca="true" t="shared" si="26" ref="S73:S80">IF(AG73="1",I73,0)</f>
        <v>0</v>
      </c>
      <c r="T73" s="34">
        <f aca="true" t="shared" si="27" ref="T73:T80">IF(AG73="7",H73,0)</f>
        <v>0</v>
      </c>
      <c r="U73" s="34">
        <f aca="true" t="shared" si="28" ref="U73:U80">IF(AG73="7",I73,0)</f>
        <v>0</v>
      </c>
      <c r="V73" s="34">
        <f aca="true" t="shared" si="29" ref="V73:V80">IF(AG73="2",H73,0)</f>
        <v>0</v>
      </c>
      <c r="W73" s="34">
        <f aca="true" t="shared" si="30" ref="W73:W80">IF(AG73="2",I73,0)</f>
        <v>0</v>
      </c>
      <c r="X73" s="34">
        <f aca="true" t="shared" si="31" ref="X73:X80">IF(AG73="0",J73,0)</f>
        <v>0</v>
      </c>
      <c r="Y73" s="26"/>
      <c r="Z73" s="17">
        <f aca="true" t="shared" si="32" ref="Z73:Z80">IF(AD73=0,J73,0)</f>
        <v>0</v>
      </c>
      <c r="AA73" s="17">
        <f aca="true" t="shared" si="33" ref="AA73:AA80">IF(AD73=15,J73,0)</f>
        <v>0</v>
      </c>
      <c r="AB73" s="17">
        <f aca="true" t="shared" si="34" ref="AB73:AB80">IF(AD73=21,J73,0)</f>
        <v>0</v>
      </c>
      <c r="AD73" s="34">
        <v>21</v>
      </c>
      <c r="AE73" s="34">
        <f>G73*0.16625873082204</f>
        <v>0</v>
      </c>
      <c r="AF73" s="34">
        <f>G73*(1-0.16625873082204)</f>
        <v>0</v>
      </c>
      <c r="AG73" s="29" t="s">
        <v>13</v>
      </c>
      <c r="AM73" s="34">
        <f aca="true" t="shared" si="35" ref="AM73:AM80">F73*AE73</f>
        <v>0</v>
      </c>
      <c r="AN73" s="34">
        <f aca="true" t="shared" si="36" ref="AN73:AN80">F73*AF73</f>
        <v>0</v>
      </c>
      <c r="AO73" s="35" t="s">
        <v>461</v>
      </c>
      <c r="AP73" s="35" t="s">
        <v>484</v>
      </c>
      <c r="AQ73" s="26" t="s">
        <v>491</v>
      </c>
      <c r="AS73" s="34">
        <f aca="true" t="shared" si="37" ref="AS73:AS80">AM73+AN73</f>
        <v>0</v>
      </c>
      <c r="AT73" s="34">
        <f aca="true" t="shared" si="38" ref="AT73:AT80">G73/(100-AU73)*100</f>
        <v>0</v>
      </c>
      <c r="AU73" s="34">
        <v>0</v>
      </c>
      <c r="AV73" s="34">
        <f aca="true" t="shared" si="39" ref="AV73:AV80">L73</f>
        <v>0.0165087</v>
      </c>
    </row>
    <row r="74" spans="1:48" ht="12.75">
      <c r="A74" s="4" t="s">
        <v>51</v>
      </c>
      <c r="B74" s="4"/>
      <c r="C74" s="4" t="s">
        <v>172</v>
      </c>
      <c r="D74" s="4" t="s">
        <v>321</v>
      </c>
      <c r="E74" s="4" t="s">
        <v>414</v>
      </c>
      <c r="F74" s="17">
        <v>19.89</v>
      </c>
      <c r="G74" s="17">
        <v>0</v>
      </c>
      <c r="H74" s="17">
        <f t="shared" si="20"/>
        <v>0</v>
      </c>
      <c r="I74" s="17">
        <f t="shared" si="21"/>
        <v>0</v>
      </c>
      <c r="J74" s="17">
        <f t="shared" si="22"/>
        <v>0</v>
      </c>
      <c r="K74" s="17">
        <v>0.00015</v>
      </c>
      <c r="L74" s="17">
        <f t="shared" si="23"/>
        <v>0.0029834999999999996</v>
      </c>
      <c r="M74" s="29" t="s">
        <v>434</v>
      </c>
      <c r="P74" s="34">
        <f t="shared" si="24"/>
        <v>0</v>
      </c>
      <c r="R74" s="34">
        <f t="shared" si="25"/>
        <v>0</v>
      </c>
      <c r="S74" s="34">
        <f t="shared" si="26"/>
        <v>0</v>
      </c>
      <c r="T74" s="34">
        <f t="shared" si="27"/>
        <v>0</v>
      </c>
      <c r="U74" s="34">
        <f t="shared" si="28"/>
        <v>0</v>
      </c>
      <c r="V74" s="34">
        <f t="shared" si="29"/>
        <v>0</v>
      </c>
      <c r="W74" s="34">
        <f t="shared" si="30"/>
        <v>0</v>
      </c>
      <c r="X74" s="34">
        <f t="shared" si="31"/>
        <v>0</v>
      </c>
      <c r="Y74" s="26"/>
      <c r="Z74" s="17">
        <f t="shared" si="32"/>
        <v>0</v>
      </c>
      <c r="AA74" s="17">
        <f t="shared" si="33"/>
        <v>0</v>
      </c>
      <c r="AB74" s="17">
        <f t="shared" si="34"/>
        <v>0</v>
      </c>
      <c r="AD74" s="34">
        <v>21</v>
      </c>
      <c r="AE74" s="34">
        <f>G74*0.314987080103359</f>
        <v>0</v>
      </c>
      <c r="AF74" s="34">
        <f>G74*(1-0.314987080103359)</f>
        <v>0</v>
      </c>
      <c r="AG74" s="29" t="s">
        <v>13</v>
      </c>
      <c r="AM74" s="34">
        <f t="shared" si="35"/>
        <v>0</v>
      </c>
      <c r="AN74" s="34">
        <f t="shared" si="36"/>
        <v>0</v>
      </c>
      <c r="AO74" s="35" t="s">
        <v>461</v>
      </c>
      <c r="AP74" s="35" t="s">
        <v>484</v>
      </c>
      <c r="AQ74" s="26" t="s">
        <v>491</v>
      </c>
      <c r="AS74" s="34">
        <f t="shared" si="37"/>
        <v>0</v>
      </c>
      <c r="AT74" s="34">
        <f t="shared" si="38"/>
        <v>0</v>
      </c>
      <c r="AU74" s="34">
        <v>0</v>
      </c>
      <c r="AV74" s="34">
        <f t="shared" si="39"/>
        <v>0.0029834999999999996</v>
      </c>
    </row>
    <row r="75" spans="1:48" ht="12.75">
      <c r="A75" s="4" t="s">
        <v>52</v>
      </c>
      <c r="B75" s="4"/>
      <c r="C75" s="4" t="s">
        <v>173</v>
      </c>
      <c r="D75" s="4" t="s">
        <v>322</v>
      </c>
      <c r="E75" s="4" t="s">
        <v>414</v>
      </c>
      <c r="F75" s="17">
        <v>16.2</v>
      </c>
      <c r="G75" s="17">
        <v>0</v>
      </c>
      <c r="H75" s="17">
        <f t="shared" si="20"/>
        <v>0</v>
      </c>
      <c r="I75" s="17">
        <f t="shared" si="21"/>
        <v>0</v>
      </c>
      <c r="J75" s="17">
        <f t="shared" si="22"/>
        <v>0</v>
      </c>
      <c r="K75" s="17">
        <v>0</v>
      </c>
      <c r="L75" s="17">
        <f t="shared" si="23"/>
        <v>0</v>
      </c>
      <c r="M75" s="29" t="s">
        <v>434</v>
      </c>
      <c r="P75" s="34">
        <f t="shared" si="24"/>
        <v>0</v>
      </c>
      <c r="R75" s="34">
        <f t="shared" si="25"/>
        <v>0</v>
      </c>
      <c r="S75" s="34">
        <f t="shared" si="26"/>
        <v>0</v>
      </c>
      <c r="T75" s="34">
        <f t="shared" si="27"/>
        <v>0</v>
      </c>
      <c r="U75" s="34">
        <f t="shared" si="28"/>
        <v>0</v>
      </c>
      <c r="V75" s="34">
        <f t="shared" si="29"/>
        <v>0</v>
      </c>
      <c r="W75" s="34">
        <f t="shared" si="30"/>
        <v>0</v>
      </c>
      <c r="X75" s="34">
        <f t="shared" si="31"/>
        <v>0</v>
      </c>
      <c r="Y75" s="26"/>
      <c r="Z75" s="17">
        <f t="shared" si="32"/>
        <v>0</v>
      </c>
      <c r="AA75" s="17">
        <f t="shared" si="33"/>
        <v>0</v>
      </c>
      <c r="AB75" s="17">
        <f t="shared" si="34"/>
        <v>0</v>
      </c>
      <c r="AD75" s="34">
        <v>21</v>
      </c>
      <c r="AE75" s="34">
        <f>G75*0</f>
        <v>0</v>
      </c>
      <c r="AF75" s="34">
        <f>G75*(1-0)</f>
        <v>0</v>
      </c>
      <c r="AG75" s="29" t="s">
        <v>13</v>
      </c>
      <c r="AM75" s="34">
        <f t="shared" si="35"/>
        <v>0</v>
      </c>
      <c r="AN75" s="34">
        <f t="shared" si="36"/>
        <v>0</v>
      </c>
      <c r="AO75" s="35" t="s">
        <v>461</v>
      </c>
      <c r="AP75" s="35" t="s">
        <v>484</v>
      </c>
      <c r="AQ75" s="26" t="s">
        <v>491</v>
      </c>
      <c r="AS75" s="34">
        <f t="shared" si="37"/>
        <v>0</v>
      </c>
      <c r="AT75" s="34">
        <f t="shared" si="38"/>
        <v>0</v>
      </c>
      <c r="AU75" s="34">
        <v>0</v>
      </c>
      <c r="AV75" s="34">
        <f t="shared" si="39"/>
        <v>0</v>
      </c>
    </row>
    <row r="76" spans="1:48" ht="12.75">
      <c r="A76" s="4" t="s">
        <v>53</v>
      </c>
      <c r="B76" s="4"/>
      <c r="C76" s="4" t="s">
        <v>174</v>
      </c>
      <c r="D76" s="4" t="s">
        <v>323</v>
      </c>
      <c r="E76" s="4" t="s">
        <v>414</v>
      </c>
      <c r="F76" s="17">
        <v>16.2</v>
      </c>
      <c r="G76" s="17">
        <v>0</v>
      </c>
      <c r="H76" s="17">
        <f t="shared" si="20"/>
        <v>0</v>
      </c>
      <c r="I76" s="17">
        <f t="shared" si="21"/>
        <v>0</v>
      </c>
      <c r="J76" s="17">
        <f t="shared" si="22"/>
        <v>0</v>
      </c>
      <c r="K76" s="17">
        <v>1E-05</v>
      </c>
      <c r="L76" s="17">
        <f t="shared" si="23"/>
        <v>0.000162</v>
      </c>
      <c r="M76" s="29" t="s">
        <v>434</v>
      </c>
      <c r="P76" s="34">
        <f t="shared" si="24"/>
        <v>0</v>
      </c>
      <c r="R76" s="34">
        <f t="shared" si="25"/>
        <v>0</v>
      </c>
      <c r="S76" s="34">
        <f t="shared" si="26"/>
        <v>0</v>
      </c>
      <c r="T76" s="34">
        <f t="shared" si="27"/>
        <v>0</v>
      </c>
      <c r="U76" s="34">
        <f t="shared" si="28"/>
        <v>0</v>
      </c>
      <c r="V76" s="34">
        <f t="shared" si="29"/>
        <v>0</v>
      </c>
      <c r="W76" s="34">
        <f t="shared" si="30"/>
        <v>0</v>
      </c>
      <c r="X76" s="34">
        <f t="shared" si="31"/>
        <v>0</v>
      </c>
      <c r="Y76" s="26"/>
      <c r="Z76" s="17">
        <f t="shared" si="32"/>
        <v>0</v>
      </c>
      <c r="AA76" s="17">
        <f t="shared" si="33"/>
        <v>0</v>
      </c>
      <c r="AB76" s="17">
        <f t="shared" si="34"/>
        <v>0</v>
      </c>
      <c r="AD76" s="34">
        <v>21</v>
      </c>
      <c r="AE76" s="34">
        <f>G76*0.251290322580645</f>
        <v>0</v>
      </c>
      <c r="AF76" s="34">
        <f>G76*(1-0.251290322580645)</f>
        <v>0</v>
      </c>
      <c r="AG76" s="29" t="s">
        <v>13</v>
      </c>
      <c r="AM76" s="34">
        <f t="shared" si="35"/>
        <v>0</v>
      </c>
      <c r="AN76" s="34">
        <f t="shared" si="36"/>
        <v>0</v>
      </c>
      <c r="AO76" s="35" t="s">
        <v>461</v>
      </c>
      <c r="AP76" s="35" t="s">
        <v>484</v>
      </c>
      <c r="AQ76" s="26" t="s">
        <v>491</v>
      </c>
      <c r="AS76" s="34">
        <f t="shared" si="37"/>
        <v>0</v>
      </c>
      <c r="AT76" s="34">
        <f t="shared" si="38"/>
        <v>0</v>
      </c>
      <c r="AU76" s="34">
        <v>0</v>
      </c>
      <c r="AV76" s="34">
        <f t="shared" si="39"/>
        <v>0.000162</v>
      </c>
    </row>
    <row r="77" spans="1:48" ht="12.75">
      <c r="A77" s="6" t="s">
        <v>54</v>
      </c>
      <c r="B77" s="6"/>
      <c r="C77" s="6" t="s">
        <v>175</v>
      </c>
      <c r="D77" s="6" t="s">
        <v>324</v>
      </c>
      <c r="E77" s="6" t="s">
        <v>414</v>
      </c>
      <c r="F77" s="18">
        <v>34.02</v>
      </c>
      <c r="G77" s="18">
        <v>0</v>
      </c>
      <c r="H77" s="18">
        <f t="shared" si="20"/>
        <v>0</v>
      </c>
      <c r="I77" s="18">
        <f t="shared" si="21"/>
        <v>0</v>
      </c>
      <c r="J77" s="18">
        <f t="shared" si="22"/>
        <v>0</v>
      </c>
      <c r="K77" s="18">
        <v>0.0005</v>
      </c>
      <c r="L77" s="18">
        <f t="shared" si="23"/>
        <v>0.01701</v>
      </c>
      <c r="M77" s="30" t="s">
        <v>434</v>
      </c>
      <c r="P77" s="34">
        <f t="shared" si="24"/>
        <v>0</v>
      </c>
      <c r="R77" s="34">
        <f t="shared" si="25"/>
        <v>0</v>
      </c>
      <c r="S77" s="34">
        <f t="shared" si="26"/>
        <v>0</v>
      </c>
      <c r="T77" s="34">
        <f t="shared" si="27"/>
        <v>0</v>
      </c>
      <c r="U77" s="34">
        <f t="shared" si="28"/>
        <v>0</v>
      </c>
      <c r="V77" s="34">
        <f t="shared" si="29"/>
        <v>0</v>
      </c>
      <c r="W77" s="34">
        <f t="shared" si="30"/>
        <v>0</v>
      </c>
      <c r="X77" s="34">
        <f t="shared" si="31"/>
        <v>0</v>
      </c>
      <c r="Y77" s="26"/>
      <c r="Z77" s="18">
        <f t="shared" si="32"/>
        <v>0</v>
      </c>
      <c r="AA77" s="18">
        <f t="shared" si="33"/>
        <v>0</v>
      </c>
      <c r="AB77" s="18">
        <f t="shared" si="34"/>
        <v>0</v>
      </c>
      <c r="AD77" s="34">
        <v>21</v>
      </c>
      <c r="AE77" s="34">
        <f>G77*1</f>
        <v>0</v>
      </c>
      <c r="AF77" s="34">
        <f>G77*(1-1)</f>
        <v>0</v>
      </c>
      <c r="AG77" s="30" t="s">
        <v>13</v>
      </c>
      <c r="AM77" s="34">
        <f t="shared" si="35"/>
        <v>0</v>
      </c>
      <c r="AN77" s="34">
        <f t="shared" si="36"/>
        <v>0</v>
      </c>
      <c r="AO77" s="35" t="s">
        <v>461</v>
      </c>
      <c r="AP77" s="35" t="s">
        <v>484</v>
      </c>
      <c r="AQ77" s="26" t="s">
        <v>491</v>
      </c>
      <c r="AS77" s="34">
        <f t="shared" si="37"/>
        <v>0</v>
      </c>
      <c r="AT77" s="34">
        <f t="shared" si="38"/>
        <v>0</v>
      </c>
      <c r="AU77" s="34">
        <v>0</v>
      </c>
      <c r="AV77" s="34">
        <f t="shared" si="39"/>
        <v>0.01701</v>
      </c>
    </row>
    <row r="78" spans="1:48" ht="12.75">
      <c r="A78" s="6" t="s">
        <v>55</v>
      </c>
      <c r="B78" s="6"/>
      <c r="C78" s="6" t="s">
        <v>176</v>
      </c>
      <c r="D78" s="6" t="s">
        <v>325</v>
      </c>
      <c r="E78" s="6" t="s">
        <v>414</v>
      </c>
      <c r="F78" s="18">
        <v>20.88</v>
      </c>
      <c r="G78" s="18">
        <v>0</v>
      </c>
      <c r="H78" s="18">
        <f t="shared" si="20"/>
        <v>0</v>
      </c>
      <c r="I78" s="18">
        <f t="shared" si="21"/>
        <v>0</v>
      </c>
      <c r="J78" s="18">
        <f t="shared" si="22"/>
        <v>0</v>
      </c>
      <c r="K78" s="18">
        <v>0.0023</v>
      </c>
      <c r="L78" s="18">
        <f t="shared" si="23"/>
        <v>0.048024</v>
      </c>
      <c r="M78" s="30" t="s">
        <v>434</v>
      </c>
      <c r="P78" s="34">
        <f t="shared" si="24"/>
        <v>0</v>
      </c>
      <c r="R78" s="34">
        <f t="shared" si="25"/>
        <v>0</v>
      </c>
      <c r="S78" s="34">
        <f t="shared" si="26"/>
        <v>0</v>
      </c>
      <c r="T78" s="34">
        <f t="shared" si="27"/>
        <v>0</v>
      </c>
      <c r="U78" s="34">
        <f t="shared" si="28"/>
        <v>0</v>
      </c>
      <c r="V78" s="34">
        <f t="shared" si="29"/>
        <v>0</v>
      </c>
      <c r="W78" s="34">
        <f t="shared" si="30"/>
        <v>0</v>
      </c>
      <c r="X78" s="34">
        <f t="shared" si="31"/>
        <v>0</v>
      </c>
      <c r="Y78" s="26"/>
      <c r="Z78" s="18">
        <f t="shared" si="32"/>
        <v>0</v>
      </c>
      <c r="AA78" s="18">
        <f t="shared" si="33"/>
        <v>0</v>
      </c>
      <c r="AB78" s="18">
        <f t="shared" si="34"/>
        <v>0</v>
      </c>
      <c r="AD78" s="34">
        <v>21</v>
      </c>
      <c r="AE78" s="34">
        <f>G78*1</f>
        <v>0</v>
      </c>
      <c r="AF78" s="34">
        <f>G78*(1-1)</f>
        <v>0</v>
      </c>
      <c r="AG78" s="30" t="s">
        <v>13</v>
      </c>
      <c r="AM78" s="34">
        <f t="shared" si="35"/>
        <v>0</v>
      </c>
      <c r="AN78" s="34">
        <f t="shared" si="36"/>
        <v>0</v>
      </c>
      <c r="AO78" s="35" t="s">
        <v>461</v>
      </c>
      <c r="AP78" s="35" t="s">
        <v>484</v>
      </c>
      <c r="AQ78" s="26" t="s">
        <v>491</v>
      </c>
      <c r="AS78" s="34">
        <f t="shared" si="37"/>
        <v>0</v>
      </c>
      <c r="AT78" s="34">
        <f t="shared" si="38"/>
        <v>0</v>
      </c>
      <c r="AU78" s="34">
        <v>0</v>
      </c>
      <c r="AV78" s="34">
        <f t="shared" si="39"/>
        <v>0.048024</v>
      </c>
    </row>
    <row r="79" spans="1:48" ht="12.75">
      <c r="A79" s="6" t="s">
        <v>56</v>
      </c>
      <c r="B79" s="6"/>
      <c r="C79" s="6" t="s">
        <v>177</v>
      </c>
      <c r="D79" s="6" t="s">
        <v>326</v>
      </c>
      <c r="E79" s="6" t="s">
        <v>414</v>
      </c>
      <c r="F79" s="18">
        <v>20.88</v>
      </c>
      <c r="G79" s="18">
        <v>0</v>
      </c>
      <c r="H79" s="18">
        <f t="shared" si="20"/>
        <v>0</v>
      </c>
      <c r="I79" s="18">
        <f t="shared" si="21"/>
        <v>0</v>
      </c>
      <c r="J79" s="18">
        <f t="shared" si="22"/>
        <v>0</v>
      </c>
      <c r="K79" s="18">
        <v>0.00069</v>
      </c>
      <c r="L79" s="18">
        <f t="shared" si="23"/>
        <v>0.014407199999999998</v>
      </c>
      <c r="M79" s="30" t="s">
        <v>434</v>
      </c>
      <c r="P79" s="34">
        <f t="shared" si="24"/>
        <v>0</v>
      </c>
      <c r="R79" s="34">
        <f t="shared" si="25"/>
        <v>0</v>
      </c>
      <c r="S79" s="34">
        <f t="shared" si="26"/>
        <v>0</v>
      </c>
      <c r="T79" s="34">
        <f t="shared" si="27"/>
        <v>0</v>
      </c>
      <c r="U79" s="34">
        <f t="shared" si="28"/>
        <v>0</v>
      </c>
      <c r="V79" s="34">
        <f t="shared" si="29"/>
        <v>0</v>
      </c>
      <c r="W79" s="34">
        <f t="shared" si="30"/>
        <v>0</v>
      </c>
      <c r="X79" s="34">
        <f t="shared" si="31"/>
        <v>0</v>
      </c>
      <c r="Y79" s="26"/>
      <c r="Z79" s="18">
        <f t="shared" si="32"/>
        <v>0</v>
      </c>
      <c r="AA79" s="18">
        <f t="shared" si="33"/>
        <v>0</v>
      </c>
      <c r="AB79" s="18">
        <f t="shared" si="34"/>
        <v>0</v>
      </c>
      <c r="AD79" s="34">
        <v>21</v>
      </c>
      <c r="AE79" s="34">
        <f>G79*1</f>
        <v>0</v>
      </c>
      <c r="AF79" s="34">
        <f>G79*(1-1)</f>
        <v>0</v>
      </c>
      <c r="AG79" s="30" t="s">
        <v>13</v>
      </c>
      <c r="AM79" s="34">
        <f t="shared" si="35"/>
        <v>0</v>
      </c>
      <c r="AN79" s="34">
        <f t="shared" si="36"/>
        <v>0</v>
      </c>
      <c r="AO79" s="35" t="s">
        <v>461</v>
      </c>
      <c r="AP79" s="35" t="s">
        <v>484</v>
      </c>
      <c r="AQ79" s="26" t="s">
        <v>491</v>
      </c>
      <c r="AS79" s="34">
        <f t="shared" si="37"/>
        <v>0</v>
      </c>
      <c r="AT79" s="34">
        <f t="shared" si="38"/>
        <v>0</v>
      </c>
      <c r="AU79" s="34">
        <v>0</v>
      </c>
      <c r="AV79" s="34">
        <f t="shared" si="39"/>
        <v>0.014407199999999998</v>
      </c>
    </row>
    <row r="80" spans="1:48" ht="12.75">
      <c r="A80" s="4" t="s">
        <v>57</v>
      </c>
      <c r="B80" s="4"/>
      <c r="C80" s="4" t="s">
        <v>178</v>
      </c>
      <c r="D80" s="4" t="s">
        <v>327</v>
      </c>
      <c r="E80" s="4" t="s">
        <v>415</v>
      </c>
      <c r="F80" s="17">
        <v>0.0991</v>
      </c>
      <c r="G80" s="17">
        <v>0</v>
      </c>
      <c r="H80" s="17">
        <f t="shared" si="20"/>
        <v>0</v>
      </c>
      <c r="I80" s="17">
        <f t="shared" si="21"/>
        <v>0</v>
      </c>
      <c r="J80" s="17">
        <f t="shared" si="22"/>
        <v>0</v>
      </c>
      <c r="K80" s="17">
        <v>0</v>
      </c>
      <c r="L80" s="17">
        <f t="shared" si="23"/>
        <v>0</v>
      </c>
      <c r="M80" s="29" t="s">
        <v>434</v>
      </c>
      <c r="P80" s="34">
        <f t="shared" si="24"/>
        <v>0</v>
      </c>
      <c r="R80" s="34">
        <f t="shared" si="25"/>
        <v>0</v>
      </c>
      <c r="S80" s="34">
        <f t="shared" si="26"/>
        <v>0</v>
      </c>
      <c r="T80" s="34">
        <f t="shared" si="27"/>
        <v>0</v>
      </c>
      <c r="U80" s="34">
        <f t="shared" si="28"/>
        <v>0</v>
      </c>
      <c r="V80" s="34">
        <f t="shared" si="29"/>
        <v>0</v>
      </c>
      <c r="W80" s="34">
        <f t="shared" si="30"/>
        <v>0</v>
      </c>
      <c r="X80" s="34">
        <f t="shared" si="31"/>
        <v>0</v>
      </c>
      <c r="Y80" s="26"/>
      <c r="Z80" s="17">
        <f t="shared" si="32"/>
        <v>0</v>
      </c>
      <c r="AA80" s="17">
        <f t="shared" si="33"/>
        <v>0</v>
      </c>
      <c r="AB80" s="17">
        <f t="shared" si="34"/>
        <v>0</v>
      </c>
      <c r="AD80" s="34">
        <v>21</v>
      </c>
      <c r="AE80" s="34">
        <f>G80*0</f>
        <v>0</v>
      </c>
      <c r="AF80" s="34">
        <f>G80*(1-0)</f>
        <v>0</v>
      </c>
      <c r="AG80" s="29" t="s">
        <v>11</v>
      </c>
      <c r="AM80" s="34">
        <f t="shared" si="35"/>
        <v>0</v>
      </c>
      <c r="AN80" s="34">
        <f t="shared" si="36"/>
        <v>0</v>
      </c>
      <c r="AO80" s="35" t="s">
        <v>461</v>
      </c>
      <c r="AP80" s="35" t="s">
        <v>484</v>
      </c>
      <c r="AQ80" s="26" t="s">
        <v>491</v>
      </c>
      <c r="AS80" s="34">
        <f t="shared" si="37"/>
        <v>0</v>
      </c>
      <c r="AT80" s="34">
        <f t="shared" si="38"/>
        <v>0</v>
      </c>
      <c r="AU80" s="34">
        <v>0</v>
      </c>
      <c r="AV80" s="34">
        <f t="shared" si="39"/>
        <v>0</v>
      </c>
    </row>
    <row r="81" spans="1:37" ht="12.75">
      <c r="A81" s="5"/>
      <c r="B81" s="13"/>
      <c r="C81" s="13" t="s">
        <v>179</v>
      </c>
      <c r="D81" s="92" t="s">
        <v>328</v>
      </c>
      <c r="E81" s="93"/>
      <c r="F81" s="93"/>
      <c r="G81" s="93"/>
      <c r="H81" s="37">
        <f>SUM(H82:H83)</f>
        <v>0</v>
      </c>
      <c r="I81" s="37">
        <f>SUM(I82:I83)</f>
        <v>0</v>
      </c>
      <c r="J81" s="37">
        <f>H81+I81</f>
        <v>0</v>
      </c>
      <c r="K81" s="26"/>
      <c r="L81" s="37">
        <f>SUM(L82:L83)</f>
        <v>0.9737999999999999</v>
      </c>
      <c r="M81" s="26"/>
      <c r="Y81" s="26"/>
      <c r="AI81" s="37">
        <f>SUM(Z82:Z83)</f>
        <v>0</v>
      </c>
      <c r="AJ81" s="37">
        <f>SUM(AA82:AA83)</f>
        <v>0</v>
      </c>
      <c r="AK81" s="37">
        <f>SUM(AB82:AB83)</f>
        <v>0</v>
      </c>
    </row>
    <row r="82" spans="1:48" ht="12.75">
      <c r="A82" s="4" t="s">
        <v>58</v>
      </c>
      <c r="B82" s="4"/>
      <c r="C82" s="4" t="s">
        <v>180</v>
      </c>
      <c r="D82" s="4" t="s">
        <v>329</v>
      </c>
      <c r="E82" s="4" t="s">
        <v>413</v>
      </c>
      <c r="F82" s="17">
        <v>5</v>
      </c>
      <c r="G82" s="17">
        <v>0</v>
      </c>
      <c r="H82" s="17">
        <f>F82*AE82</f>
        <v>0</v>
      </c>
      <c r="I82" s="17">
        <f>J82-H82</f>
        <v>0</v>
      </c>
      <c r="J82" s="17">
        <f>F82*G82</f>
        <v>0</v>
      </c>
      <c r="K82" s="17">
        <v>0.19429</v>
      </c>
      <c r="L82" s="17">
        <f>F82*K82</f>
        <v>0.9714499999999999</v>
      </c>
      <c r="M82" s="29" t="s">
        <v>434</v>
      </c>
      <c r="P82" s="34">
        <f>IF(AG82="5",J82,0)</f>
        <v>0</v>
      </c>
      <c r="R82" s="34">
        <f>IF(AG82="1",H82,0)</f>
        <v>0</v>
      </c>
      <c r="S82" s="34">
        <f>IF(AG82="1",I82,0)</f>
        <v>0</v>
      </c>
      <c r="T82" s="34">
        <f>IF(AG82="7",H82,0)</f>
        <v>0</v>
      </c>
      <c r="U82" s="34">
        <f>IF(AG82="7",I82,0)</f>
        <v>0</v>
      </c>
      <c r="V82" s="34">
        <f>IF(AG82="2",H82,0)</f>
        <v>0</v>
      </c>
      <c r="W82" s="34">
        <f>IF(AG82="2",I82,0)</f>
        <v>0</v>
      </c>
      <c r="X82" s="34">
        <f>IF(AG82="0",J82,0)</f>
        <v>0</v>
      </c>
      <c r="Y82" s="26"/>
      <c r="Z82" s="17">
        <f>IF(AD82=0,J82,0)</f>
        <v>0</v>
      </c>
      <c r="AA82" s="17">
        <f>IF(AD82=15,J82,0)</f>
        <v>0</v>
      </c>
      <c r="AB82" s="17">
        <f>IF(AD82=21,J82,0)</f>
        <v>0</v>
      </c>
      <c r="AD82" s="34">
        <v>21</v>
      </c>
      <c r="AE82" s="34">
        <f>G82*0.411690243362132</f>
        <v>0</v>
      </c>
      <c r="AF82" s="34">
        <f>G82*(1-0.411690243362132)</f>
        <v>0</v>
      </c>
      <c r="AG82" s="29" t="s">
        <v>13</v>
      </c>
      <c r="AM82" s="34">
        <f>F82*AE82</f>
        <v>0</v>
      </c>
      <c r="AN82" s="34">
        <f>F82*AF82</f>
        <v>0</v>
      </c>
      <c r="AO82" s="35" t="s">
        <v>462</v>
      </c>
      <c r="AP82" s="35" t="s">
        <v>485</v>
      </c>
      <c r="AQ82" s="26" t="s">
        <v>491</v>
      </c>
      <c r="AS82" s="34">
        <f>AM82+AN82</f>
        <v>0</v>
      </c>
      <c r="AT82" s="34">
        <f>G82/(100-AU82)*100</f>
        <v>0</v>
      </c>
      <c r="AU82" s="34">
        <v>0</v>
      </c>
      <c r="AV82" s="34">
        <f>L82</f>
        <v>0.9714499999999999</v>
      </c>
    </row>
    <row r="83" spans="1:48" ht="12.75">
      <c r="A83" s="4" t="s">
        <v>59</v>
      </c>
      <c r="B83" s="4"/>
      <c r="C83" s="4" t="s">
        <v>181</v>
      </c>
      <c r="D83" s="4" t="s">
        <v>330</v>
      </c>
      <c r="E83" s="4" t="s">
        <v>413</v>
      </c>
      <c r="F83" s="17">
        <v>5</v>
      </c>
      <c r="G83" s="17">
        <v>0</v>
      </c>
      <c r="H83" s="17">
        <f>F83*AE83</f>
        <v>0</v>
      </c>
      <c r="I83" s="17">
        <f>J83-H83</f>
        <v>0</v>
      </c>
      <c r="J83" s="17">
        <f>F83*G83</f>
        <v>0</v>
      </c>
      <c r="K83" s="17">
        <v>0.00047</v>
      </c>
      <c r="L83" s="17">
        <f>F83*K83</f>
        <v>0.00235</v>
      </c>
      <c r="M83" s="29" t="s">
        <v>434</v>
      </c>
      <c r="P83" s="34">
        <f>IF(AG83="5",J83,0)</f>
        <v>0</v>
      </c>
      <c r="R83" s="34">
        <f>IF(AG83="1",H83,0)</f>
        <v>0</v>
      </c>
      <c r="S83" s="34">
        <f>IF(AG83="1",I83,0)</f>
        <v>0</v>
      </c>
      <c r="T83" s="34">
        <f>IF(AG83="7",H83,0)</f>
        <v>0</v>
      </c>
      <c r="U83" s="34">
        <f>IF(AG83="7",I83,0)</f>
        <v>0</v>
      </c>
      <c r="V83" s="34">
        <f>IF(AG83="2",H83,0)</f>
        <v>0</v>
      </c>
      <c r="W83" s="34">
        <f>IF(AG83="2",I83,0)</f>
        <v>0</v>
      </c>
      <c r="X83" s="34">
        <f>IF(AG83="0",J83,0)</f>
        <v>0</v>
      </c>
      <c r="Y83" s="26"/>
      <c r="Z83" s="17">
        <f>IF(AD83=0,J83,0)</f>
        <v>0</v>
      </c>
      <c r="AA83" s="17">
        <f>IF(AD83=15,J83,0)</f>
        <v>0</v>
      </c>
      <c r="AB83" s="17">
        <f>IF(AD83=21,J83,0)</f>
        <v>0</v>
      </c>
      <c r="AD83" s="34">
        <v>21</v>
      </c>
      <c r="AE83" s="34">
        <f>G83*0.353983739837398</f>
        <v>0</v>
      </c>
      <c r="AF83" s="34">
        <f>G83*(1-0.353983739837398)</f>
        <v>0</v>
      </c>
      <c r="AG83" s="29" t="s">
        <v>13</v>
      </c>
      <c r="AM83" s="34">
        <f>F83*AE83</f>
        <v>0</v>
      </c>
      <c r="AN83" s="34">
        <f>F83*AF83</f>
        <v>0</v>
      </c>
      <c r="AO83" s="35" t="s">
        <v>462</v>
      </c>
      <c r="AP83" s="35" t="s">
        <v>485</v>
      </c>
      <c r="AQ83" s="26" t="s">
        <v>491</v>
      </c>
      <c r="AS83" s="34">
        <f>AM83+AN83</f>
        <v>0</v>
      </c>
      <c r="AT83" s="34">
        <f>G83/(100-AU83)*100</f>
        <v>0</v>
      </c>
      <c r="AU83" s="34">
        <v>0</v>
      </c>
      <c r="AV83" s="34">
        <f>L83</f>
        <v>0.00235</v>
      </c>
    </row>
    <row r="84" spans="1:37" ht="12.75">
      <c r="A84" s="5"/>
      <c r="B84" s="13"/>
      <c r="C84" s="13" t="s">
        <v>182</v>
      </c>
      <c r="D84" s="92" t="s">
        <v>331</v>
      </c>
      <c r="E84" s="93"/>
      <c r="F84" s="93"/>
      <c r="G84" s="93"/>
      <c r="H84" s="37">
        <f>SUM(H85:H85)</f>
        <v>0</v>
      </c>
      <c r="I84" s="37">
        <f>SUM(I85:I85)</f>
        <v>0</v>
      </c>
      <c r="J84" s="37">
        <f>H84+I84</f>
        <v>0</v>
      </c>
      <c r="K84" s="26"/>
      <c r="L84" s="37">
        <f>SUM(L85:L85)</f>
        <v>0.0079</v>
      </c>
      <c r="M84" s="26"/>
      <c r="Y84" s="26"/>
      <c r="AI84" s="37">
        <f>SUM(Z85:Z85)</f>
        <v>0</v>
      </c>
      <c r="AJ84" s="37">
        <f>SUM(AA85:AA85)</f>
        <v>0</v>
      </c>
      <c r="AK84" s="37">
        <f>SUM(AB85:AB85)</f>
        <v>0</v>
      </c>
    </row>
    <row r="85" spans="1:48" ht="12.75">
      <c r="A85" s="4" t="s">
        <v>60</v>
      </c>
      <c r="B85" s="4"/>
      <c r="C85" s="4" t="s">
        <v>183</v>
      </c>
      <c r="D85" s="4" t="s">
        <v>332</v>
      </c>
      <c r="E85" s="4" t="s">
        <v>413</v>
      </c>
      <c r="F85" s="17">
        <v>10</v>
      </c>
      <c r="G85" s="17">
        <v>0</v>
      </c>
      <c r="H85" s="17">
        <f>F85*AE85</f>
        <v>0</v>
      </c>
      <c r="I85" s="17">
        <f>J85-H85</f>
        <v>0</v>
      </c>
      <c r="J85" s="17">
        <f>F85*G85</f>
        <v>0</v>
      </c>
      <c r="K85" s="17">
        <v>0.00079</v>
      </c>
      <c r="L85" s="17">
        <f>F85*K85</f>
        <v>0.0079</v>
      </c>
      <c r="M85" s="29" t="s">
        <v>434</v>
      </c>
      <c r="P85" s="34">
        <f>IF(AG85="5",J85,0)</f>
        <v>0</v>
      </c>
      <c r="R85" s="34">
        <f>IF(AG85="1",H85,0)</f>
        <v>0</v>
      </c>
      <c r="S85" s="34">
        <f>IF(AG85="1",I85,0)</f>
        <v>0</v>
      </c>
      <c r="T85" s="34">
        <f>IF(AG85="7",H85,0)</f>
        <v>0</v>
      </c>
      <c r="U85" s="34">
        <f>IF(AG85="7",I85,0)</f>
        <v>0</v>
      </c>
      <c r="V85" s="34">
        <f>IF(AG85="2",H85,0)</f>
        <v>0</v>
      </c>
      <c r="W85" s="34">
        <f>IF(AG85="2",I85,0)</f>
        <v>0</v>
      </c>
      <c r="X85" s="34">
        <f>IF(AG85="0",J85,0)</f>
        <v>0</v>
      </c>
      <c r="Y85" s="26"/>
      <c r="Z85" s="17">
        <f>IF(AD85=0,J85,0)</f>
        <v>0</v>
      </c>
      <c r="AA85" s="17">
        <f>IF(AD85=15,J85,0)</f>
        <v>0</v>
      </c>
      <c r="AB85" s="17">
        <f>IF(AD85=21,J85,0)</f>
        <v>0</v>
      </c>
      <c r="AD85" s="34">
        <v>21</v>
      </c>
      <c r="AE85" s="34">
        <f>G85*0.41446641286995</f>
        <v>0</v>
      </c>
      <c r="AF85" s="34">
        <f>G85*(1-0.41446641286995)</f>
        <v>0</v>
      </c>
      <c r="AG85" s="29" t="s">
        <v>13</v>
      </c>
      <c r="AM85" s="34">
        <f>F85*AE85</f>
        <v>0</v>
      </c>
      <c r="AN85" s="34">
        <f>F85*AF85</f>
        <v>0</v>
      </c>
      <c r="AO85" s="35" t="s">
        <v>463</v>
      </c>
      <c r="AP85" s="35" t="s">
        <v>485</v>
      </c>
      <c r="AQ85" s="26" t="s">
        <v>491</v>
      </c>
      <c r="AS85" s="34">
        <f>AM85+AN85</f>
        <v>0</v>
      </c>
      <c r="AT85" s="34">
        <f>G85/(100-AU85)*100</f>
        <v>0</v>
      </c>
      <c r="AU85" s="34">
        <v>0</v>
      </c>
      <c r="AV85" s="34">
        <f>L85</f>
        <v>0.0079</v>
      </c>
    </row>
    <row r="86" spans="1:37" ht="12.75">
      <c r="A86" s="5"/>
      <c r="B86" s="13"/>
      <c r="C86" s="13" t="s">
        <v>184</v>
      </c>
      <c r="D86" s="92" t="s">
        <v>333</v>
      </c>
      <c r="E86" s="93"/>
      <c r="F86" s="93"/>
      <c r="G86" s="93"/>
      <c r="H86" s="37">
        <f>SUM(H87:H90)</f>
        <v>0</v>
      </c>
      <c r="I86" s="37">
        <f>SUM(I87:I90)</f>
        <v>0</v>
      </c>
      <c r="J86" s="37">
        <f>H86+I86</f>
        <v>0</v>
      </c>
      <c r="K86" s="26"/>
      <c r="L86" s="37">
        <f>SUM(L87:L90)</f>
        <v>0.12911</v>
      </c>
      <c r="M86" s="26"/>
      <c r="Y86" s="26"/>
      <c r="AI86" s="37">
        <f>SUM(Z87:Z90)</f>
        <v>0</v>
      </c>
      <c r="AJ86" s="37">
        <f>SUM(AA87:AA90)</f>
        <v>0</v>
      </c>
      <c r="AK86" s="37">
        <f>SUM(AB87:AB90)</f>
        <v>0</v>
      </c>
    </row>
    <row r="87" spans="1:48" ht="12.75">
      <c r="A87" s="4" t="s">
        <v>61</v>
      </c>
      <c r="B87" s="4"/>
      <c r="C87" s="4" t="s">
        <v>185</v>
      </c>
      <c r="D87" s="4" t="s">
        <v>334</v>
      </c>
      <c r="E87" s="4" t="s">
        <v>416</v>
      </c>
      <c r="F87" s="17">
        <v>1</v>
      </c>
      <c r="G87" s="17">
        <v>0</v>
      </c>
      <c r="H87" s="17">
        <f>F87*AE87</f>
        <v>0</v>
      </c>
      <c r="I87" s="17">
        <f>J87-H87</f>
        <v>0</v>
      </c>
      <c r="J87" s="17">
        <f>F87*G87</f>
        <v>0</v>
      </c>
      <c r="K87" s="17">
        <v>0.01867</v>
      </c>
      <c r="L87" s="17">
        <f>F87*K87</f>
        <v>0.01867</v>
      </c>
      <c r="M87" s="29" t="s">
        <v>434</v>
      </c>
      <c r="P87" s="34">
        <f>IF(AG87="5",J87,0)</f>
        <v>0</v>
      </c>
      <c r="R87" s="34">
        <f>IF(AG87="1",H87,0)</f>
        <v>0</v>
      </c>
      <c r="S87" s="34">
        <f>IF(AG87="1",I87,0)</f>
        <v>0</v>
      </c>
      <c r="T87" s="34">
        <f>IF(AG87="7",H87,0)</f>
        <v>0</v>
      </c>
      <c r="U87" s="34">
        <f>IF(AG87="7",I87,0)</f>
        <v>0</v>
      </c>
      <c r="V87" s="34">
        <f>IF(AG87="2",H87,0)</f>
        <v>0</v>
      </c>
      <c r="W87" s="34">
        <f>IF(AG87="2",I87,0)</f>
        <v>0</v>
      </c>
      <c r="X87" s="34">
        <f>IF(AG87="0",J87,0)</f>
        <v>0</v>
      </c>
      <c r="Y87" s="26"/>
      <c r="Z87" s="17">
        <f>IF(AD87=0,J87,0)</f>
        <v>0</v>
      </c>
      <c r="AA87" s="17">
        <f>IF(AD87=15,J87,0)</f>
        <v>0</v>
      </c>
      <c r="AB87" s="17">
        <f>IF(AD87=21,J87,0)</f>
        <v>0</v>
      </c>
      <c r="AD87" s="34">
        <v>21</v>
      </c>
      <c r="AE87" s="34">
        <f>G87*0.775547428571429</f>
        <v>0</v>
      </c>
      <c r="AF87" s="34">
        <f>G87*(1-0.775547428571429)</f>
        <v>0</v>
      </c>
      <c r="AG87" s="29" t="s">
        <v>13</v>
      </c>
      <c r="AM87" s="34">
        <f>F87*AE87</f>
        <v>0</v>
      </c>
      <c r="AN87" s="34">
        <f>F87*AF87</f>
        <v>0</v>
      </c>
      <c r="AO87" s="35" t="s">
        <v>464</v>
      </c>
      <c r="AP87" s="35" t="s">
        <v>485</v>
      </c>
      <c r="AQ87" s="26" t="s">
        <v>491</v>
      </c>
      <c r="AS87" s="34">
        <f>AM87+AN87</f>
        <v>0</v>
      </c>
      <c r="AT87" s="34">
        <f>G87/(100-AU87)*100</f>
        <v>0</v>
      </c>
      <c r="AU87" s="34">
        <v>0</v>
      </c>
      <c r="AV87" s="34">
        <f>L87</f>
        <v>0.01867</v>
      </c>
    </row>
    <row r="88" spans="1:48" ht="12.75">
      <c r="A88" s="4" t="s">
        <v>62</v>
      </c>
      <c r="B88" s="4"/>
      <c r="C88" s="4" t="s">
        <v>186</v>
      </c>
      <c r="D88" s="4" t="s">
        <v>335</v>
      </c>
      <c r="E88" s="4" t="s">
        <v>416</v>
      </c>
      <c r="F88" s="17">
        <v>2</v>
      </c>
      <c r="G88" s="17">
        <v>0</v>
      </c>
      <c r="H88" s="17">
        <f>F88*AE88</f>
        <v>0</v>
      </c>
      <c r="I88" s="17">
        <f>J88-H88</f>
        <v>0</v>
      </c>
      <c r="J88" s="17">
        <f>F88*G88</f>
        <v>0</v>
      </c>
      <c r="K88" s="17">
        <v>0.02962</v>
      </c>
      <c r="L88" s="17">
        <f>F88*K88</f>
        <v>0.05924</v>
      </c>
      <c r="M88" s="29" t="s">
        <v>434</v>
      </c>
      <c r="P88" s="34">
        <f>IF(AG88="5",J88,0)</f>
        <v>0</v>
      </c>
      <c r="R88" s="34">
        <f>IF(AG88="1",H88,0)</f>
        <v>0</v>
      </c>
      <c r="S88" s="34">
        <f>IF(AG88="1",I88,0)</f>
        <v>0</v>
      </c>
      <c r="T88" s="34">
        <f>IF(AG88="7",H88,0)</f>
        <v>0</v>
      </c>
      <c r="U88" s="34">
        <f>IF(AG88="7",I88,0)</f>
        <v>0</v>
      </c>
      <c r="V88" s="34">
        <f>IF(AG88="2",H88,0)</f>
        <v>0</v>
      </c>
      <c r="W88" s="34">
        <f>IF(AG88="2",I88,0)</f>
        <v>0</v>
      </c>
      <c r="X88" s="34">
        <f>IF(AG88="0",J88,0)</f>
        <v>0</v>
      </c>
      <c r="Y88" s="26"/>
      <c r="Z88" s="17">
        <f>IF(AD88=0,J88,0)</f>
        <v>0</v>
      </c>
      <c r="AA88" s="17">
        <f>IF(AD88=15,J88,0)</f>
        <v>0</v>
      </c>
      <c r="AB88" s="17">
        <f>IF(AD88=21,J88,0)</f>
        <v>0</v>
      </c>
      <c r="AD88" s="34">
        <v>21</v>
      </c>
      <c r="AE88" s="34">
        <f>G88*0.834120930232558</f>
        <v>0</v>
      </c>
      <c r="AF88" s="34">
        <f>G88*(1-0.834120930232558)</f>
        <v>0</v>
      </c>
      <c r="AG88" s="29" t="s">
        <v>13</v>
      </c>
      <c r="AM88" s="34">
        <f>F88*AE88</f>
        <v>0</v>
      </c>
      <c r="AN88" s="34">
        <f>F88*AF88</f>
        <v>0</v>
      </c>
      <c r="AO88" s="35" t="s">
        <v>464</v>
      </c>
      <c r="AP88" s="35" t="s">
        <v>485</v>
      </c>
      <c r="AQ88" s="26" t="s">
        <v>491</v>
      </c>
      <c r="AS88" s="34">
        <f>AM88+AN88</f>
        <v>0</v>
      </c>
      <c r="AT88" s="34">
        <f>G88/(100-AU88)*100</f>
        <v>0</v>
      </c>
      <c r="AU88" s="34">
        <v>0</v>
      </c>
      <c r="AV88" s="34">
        <f>L88</f>
        <v>0.05924</v>
      </c>
    </row>
    <row r="89" spans="1:48" ht="12.75">
      <c r="A89" s="4" t="s">
        <v>63</v>
      </c>
      <c r="B89" s="4"/>
      <c r="C89" s="4" t="s">
        <v>187</v>
      </c>
      <c r="D89" s="4" t="s">
        <v>336</v>
      </c>
      <c r="E89" s="4" t="s">
        <v>416</v>
      </c>
      <c r="F89" s="17">
        <v>1</v>
      </c>
      <c r="G89" s="17">
        <v>0</v>
      </c>
      <c r="H89" s="17">
        <f>F89*AE89</f>
        <v>0</v>
      </c>
      <c r="I89" s="17">
        <f>J89-H89</f>
        <v>0</v>
      </c>
      <c r="J89" s="17">
        <f>F89*G89</f>
        <v>0</v>
      </c>
      <c r="K89" s="17">
        <v>0.01933</v>
      </c>
      <c r="L89" s="17">
        <f>F89*K89</f>
        <v>0.01933</v>
      </c>
      <c r="M89" s="29" t="s">
        <v>434</v>
      </c>
      <c r="P89" s="34">
        <f>IF(AG89="5",J89,0)</f>
        <v>0</v>
      </c>
      <c r="R89" s="34">
        <f>IF(AG89="1",H89,0)</f>
        <v>0</v>
      </c>
      <c r="S89" s="34">
        <f>IF(AG89="1",I89,0)</f>
        <v>0</v>
      </c>
      <c r="T89" s="34">
        <f>IF(AG89="7",H89,0)</f>
        <v>0</v>
      </c>
      <c r="U89" s="34">
        <f>IF(AG89="7",I89,0)</f>
        <v>0</v>
      </c>
      <c r="V89" s="34">
        <f>IF(AG89="2",H89,0)</f>
        <v>0</v>
      </c>
      <c r="W89" s="34">
        <f>IF(AG89="2",I89,0)</f>
        <v>0</v>
      </c>
      <c r="X89" s="34">
        <f>IF(AG89="0",J89,0)</f>
        <v>0</v>
      </c>
      <c r="Y89" s="26"/>
      <c r="Z89" s="17">
        <f>IF(AD89=0,J89,0)</f>
        <v>0</v>
      </c>
      <c r="AA89" s="17">
        <f>IF(AD89=15,J89,0)</f>
        <v>0</v>
      </c>
      <c r="AB89" s="17">
        <f>IF(AD89=21,J89,0)</f>
        <v>0</v>
      </c>
      <c r="AD89" s="34">
        <v>21</v>
      </c>
      <c r="AE89" s="34">
        <f>G89*0</f>
        <v>0</v>
      </c>
      <c r="AF89" s="34">
        <f>G89*(1-0)</f>
        <v>0</v>
      </c>
      <c r="AG89" s="29" t="s">
        <v>13</v>
      </c>
      <c r="AM89" s="34">
        <f>F89*AE89</f>
        <v>0</v>
      </c>
      <c r="AN89" s="34">
        <f>F89*AF89</f>
        <v>0</v>
      </c>
      <c r="AO89" s="35" t="s">
        <v>464</v>
      </c>
      <c r="AP89" s="35" t="s">
        <v>485</v>
      </c>
      <c r="AQ89" s="26" t="s">
        <v>491</v>
      </c>
      <c r="AS89" s="34">
        <f>AM89+AN89</f>
        <v>0</v>
      </c>
      <c r="AT89" s="34">
        <f>G89/(100-AU89)*100</f>
        <v>0</v>
      </c>
      <c r="AU89" s="34">
        <v>0</v>
      </c>
      <c r="AV89" s="34">
        <f>L89</f>
        <v>0.01933</v>
      </c>
    </row>
    <row r="90" spans="1:48" ht="12.75">
      <c r="A90" s="4" t="s">
        <v>64</v>
      </c>
      <c r="B90" s="4"/>
      <c r="C90" s="4" t="s">
        <v>188</v>
      </c>
      <c r="D90" s="4" t="s">
        <v>337</v>
      </c>
      <c r="E90" s="4" t="s">
        <v>416</v>
      </c>
      <c r="F90" s="17">
        <v>1</v>
      </c>
      <c r="G90" s="17">
        <v>0</v>
      </c>
      <c r="H90" s="17">
        <f>F90*AE90</f>
        <v>0</v>
      </c>
      <c r="I90" s="17">
        <f>J90-H90</f>
        <v>0</v>
      </c>
      <c r="J90" s="17">
        <f>F90*G90</f>
        <v>0</v>
      </c>
      <c r="K90" s="17">
        <v>0.03187</v>
      </c>
      <c r="L90" s="17">
        <f>F90*K90</f>
        <v>0.03187</v>
      </c>
      <c r="M90" s="29" t="s">
        <v>434</v>
      </c>
      <c r="P90" s="34">
        <f>IF(AG90="5",J90,0)</f>
        <v>0</v>
      </c>
      <c r="R90" s="34">
        <f>IF(AG90="1",H90,0)</f>
        <v>0</v>
      </c>
      <c r="S90" s="34">
        <f>IF(AG90="1",I90,0)</f>
        <v>0</v>
      </c>
      <c r="T90" s="34">
        <f>IF(AG90="7",H90,0)</f>
        <v>0</v>
      </c>
      <c r="U90" s="34">
        <f>IF(AG90="7",I90,0)</f>
        <v>0</v>
      </c>
      <c r="V90" s="34">
        <f>IF(AG90="2",H90,0)</f>
        <v>0</v>
      </c>
      <c r="W90" s="34">
        <f>IF(AG90="2",I90,0)</f>
        <v>0</v>
      </c>
      <c r="X90" s="34">
        <f>IF(AG90="0",J90,0)</f>
        <v>0</v>
      </c>
      <c r="Y90" s="26"/>
      <c r="Z90" s="17">
        <f>IF(AD90=0,J90,0)</f>
        <v>0</v>
      </c>
      <c r="AA90" s="17">
        <f>IF(AD90=15,J90,0)</f>
        <v>0</v>
      </c>
      <c r="AB90" s="17">
        <f>IF(AD90=21,J90,0)</f>
        <v>0</v>
      </c>
      <c r="AD90" s="34">
        <v>21</v>
      </c>
      <c r="AE90" s="34">
        <f>G90*0</f>
        <v>0</v>
      </c>
      <c r="AF90" s="34">
        <f>G90*(1-0)</f>
        <v>0</v>
      </c>
      <c r="AG90" s="29" t="s">
        <v>13</v>
      </c>
      <c r="AM90" s="34">
        <f>F90*AE90</f>
        <v>0</v>
      </c>
      <c r="AN90" s="34">
        <f>F90*AF90</f>
        <v>0</v>
      </c>
      <c r="AO90" s="35" t="s">
        <v>464</v>
      </c>
      <c r="AP90" s="35" t="s">
        <v>485</v>
      </c>
      <c r="AQ90" s="26" t="s">
        <v>491</v>
      </c>
      <c r="AS90" s="34">
        <f>AM90+AN90</f>
        <v>0</v>
      </c>
      <c r="AT90" s="34">
        <f>G90/(100-AU90)*100</f>
        <v>0</v>
      </c>
      <c r="AU90" s="34">
        <v>0</v>
      </c>
      <c r="AV90" s="34">
        <f>L90</f>
        <v>0.03187</v>
      </c>
    </row>
    <row r="91" spans="1:37" ht="12.75">
      <c r="A91" s="5"/>
      <c r="B91" s="13"/>
      <c r="C91" s="13"/>
      <c r="D91" s="92"/>
      <c r="E91" s="93"/>
      <c r="F91" s="93"/>
      <c r="G91" s="93"/>
      <c r="H91" s="37">
        <f>SUM(H92:H92)</f>
        <v>0</v>
      </c>
      <c r="I91" s="37">
        <f>SUM(I92:I92)</f>
        <v>0</v>
      </c>
      <c r="J91" s="37">
        <f>H91+I91</f>
        <v>0</v>
      </c>
      <c r="K91" s="26"/>
      <c r="L91" s="37">
        <f>SUM(L92:L92)</f>
        <v>0</v>
      </c>
      <c r="M91" s="26"/>
      <c r="Y91" s="26"/>
      <c r="AI91" s="37">
        <f>SUM(Z92:Z92)</f>
        <v>0</v>
      </c>
      <c r="AJ91" s="37">
        <f>SUM(AA92:AA92)</f>
        <v>0</v>
      </c>
      <c r="AK91" s="37">
        <f>SUM(AB92:AB92)</f>
        <v>0</v>
      </c>
    </row>
    <row r="92" spans="1:48" ht="12.75">
      <c r="A92" s="4" t="s">
        <v>65</v>
      </c>
      <c r="B92" s="4"/>
      <c r="C92" s="4"/>
      <c r="D92" s="4"/>
      <c r="E92" s="4"/>
      <c r="F92" s="17"/>
      <c r="G92" s="17">
        <v>0</v>
      </c>
      <c r="H92" s="17">
        <f>F92*AE92</f>
        <v>0</v>
      </c>
      <c r="I92" s="17">
        <f>J92-H92</f>
        <v>0</v>
      </c>
      <c r="J92" s="17">
        <f>F92*G92</f>
        <v>0</v>
      </c>
      <c r="K92" s="17">
        <v>0</v>
      </c>
      <c r="L92" s="17">
        <f>F92*K92</f>
        <v>0</v>
      </c>
      <c r="M92" s="29" t="s">
        <v>434</v>
      </c>
      <c r="P92" s="34">
        <f>IF(AG92="5",J92,0)</f>
        <v>0</v>
      </c>
      <c r="R92" s="34">
        <f>IF(AG92="1",H92,0)</f>
        <v>0</v>
      </c>
      <c r="S92" s="34">
        <f>IF(AG92="1",I92,0)</f>
        <v>0</v>
      </c>
      <c r="T92" s="34">
        <f>IF(AG92="7",H92,0)</f>
        <v>0</v>
      </c>
      <c r="U92" s="34">
        <f>IF(AG92="7",I92,0)</f>
        <v>0</v>
      </c>
      <c r="V92" s="34">
        <f>IF(AG92="2",H92,0)</f>
        <v>0</v>
      </c>
      <c r="W92" s="34">
        <f>IF(AG92="2",I92,0)</f>
        <v>0</v>
      </c>
      <c r="X92" s="34">
        <f>IF(AG92="0",J92,0)</f>
        <v>0</v>
      </c>
      <c r="Y92" s="26"/>
      <c r="Z92" s="17">
        <f>IF(AD92=0,J92,0)</f>
        <v>0</v>
      </c>
      <c r="AA92" s="17">
        <f>IF(AD92=15,J92,0)</f>
        <v>0</v>
      </c>
      <c r="AB92" s="17">
        <f>IF(AD92=21,J92,0)</f>
        <v>0</v>
      </c>
      <c r="AD92" s="34">
        <v>21</v>
      </c>
      <c r="AE92" s="34">
        <f>G92*0.655737444444444</f>
        <v>0</v>
      </c>
      <c r="AF92" s="34">
        <f>G92*(1-0.655737444444444)</f>
        <v>0</v>
      </c>
      <c r="AG92" s="29" t="s">
        <v>13</v>
      </c>
      <c r="AM92" s="34">
        <f>F92*AE92</f>
        <v>0</v>
      </c>
      <c r="AN92" s="34">
        <f>F92*AF92</f>
        <v>0</v>
      </c>
      <c r="AO92" s="35" t="s">
        <v>465</v>
      </c>
      <c r="AP92" s="35" t="s">
        <v>486</v>
      </c>
      <c r="AQ92" s="26" t="s">
        <v>491</v>
      </c>
      <c r="AS92" s="34">
        <f>AM92+AN92</f>
        <v>0</v>
      </c>
      <c r="AT92" s="34">
        <f>G92/(100-AU92)*100</f>
        <v>0</v>
      </c>
      <c r="AU92" s="34">
        <v>0</v>
      </c>
      <c r="AV92" s="34">
        <f>L92</f>
        <v>0</v>
      </c>
    </row>
    <row r="93" spans="1:37" ht="12.75">
      <c r="A93" s="5"/>
      <c r="B93" s="13"/>
      <c r="C93" s="13" t="s">
        <v>189</v>
      </c>
      <c r="D93" s="92" t="s">
        <v>338</v>
      </c>
      <c r="E93" s="93"/>
      <c r="F93" s="93"/>
      <c r="G93" s="93"/>
      <c r="H93" s="37">
        <f>SUM(H94:H107)</f>
        <v>0</v>
      </c>
      <c r="I93" s="37">
        <f>SUM(I94:I107)</f>
        <v>0</v>
      </c>
      <c r="J93" s="37">
        <f>H93+I93</f>
        <v>0</v>
      </c>
      <c r="K93" s="26"/>
      <c r="L93" s="37">
        <f>SUM(L94:L107)</f>
        <v>4.7055956</v>
      </c>
      <c r="M93" s="26"/>
      <c r="Y93" s="26"/>
      <c r="AI93" s="37">
        <f>SUM(Z94:Z107)</f>
        <v>0</v>
      </c>
      <c r="AJ93" s="37">
        <f>SUM(AA94:AA107)</f>
        <v>0</v>
      </c>
      <c r="AK93" s="37">
        <f>SUM(AB94:AB107)</f>
        <v>0</v>
      </c>
    </row>
    <row r="94" spans="1:48" ht="12.75">
      <c r="A94" s="4" t="s">
        <v>66</v>
      </c>
      <c r="B94" s="4"/>
      <c r="C94" s="4" t="s">
        <v>190</v>
      </c>
      <c r="D94" s="4" t="s">
        <v>339</v>
      </c>
      <c r="E94" s="4" t="s">
        <v>416</v>
      </c>
      <c r="F94" s="17">
        <v>23</v>
      </c>
      <c r="G94" s="17">
        <v>0</v>
      </c>
      <c r="H94" s="17">
        <f aca="true" t="shared" si="40" ref="H94:H107">F94*AE94</f>
        <v>0</v>
      </c>
      <c r="I94" s="17">
        <f aca="true" t="shared" si="41" ref="I94:I107">J94-H94</f>
        <v>0</v>
      </c>
      <c r="J94" s="17">
        <f aca="true" t="shared" si="42" ref="J94:J107">F94*G94</f>
        <v>0</v>
      </c>
      <c r="K94" s="17">
        <v>0</v>
      </c>
      <c r="L94" s="17">
        <f aca="true" t="shared" si="43" ref="L94:L107">F94*K94</f>
        <v>0</v>
      </c>
      <c r="M94" s="29" t="s">
        <v>434</v>
      </c>
      <c r="P94" s="34">
        <f aca="true" t="shared" si="44" ref="P94:P107">IF(AG94="5",J94,0)</f>
        <v>0</v>
      </c>
      <c r="R94" s="34">
        <f aca="true" t="shared" si="45" ref="R94:R107">IF(AG94="1",H94,0)</f>
        <v>0</v>
      </c>
      <c r="S94" s="34">
        <f aca="true" t="shared" si="46" ref="S94:S107">IF(AG94="1",I94,0)</f>
        <v>0</v>
      </c>
      <c r="T94" s="34">
        <f aca="true" t="shared" si="47" ref="T94:T107">IF(AG94="7",H94,0)</f>
        <v>0</v>
      </c>
      <c r="U94" s="34">
        <f aca="true" t="shared" si="48" ref="U94:U107">IF(AG94="7",I94,0)</f>
        <v>0</v>
      </c>
      <c r="V94" s="34">
        <f aca="true" t="shared" si="49" ref="V94:V107">IF(AG94="2",H94,0)</f>
        <v>0</v>
      </c>
      <c r="W94" s="34">
        <f aca="true" t="shared" si="50" ref="W94:W107">IF(AG94="2",I94,0)</f>
        <v>0</v>
      </c>
      <c r="X94" s="34">
        <f aca="true" t="shared" si="51" ref="X94:X107">IF(AG94="0",J94,0)</f>
        <v>0</v>
      </c>
      <c r="Y94" s="26"/>
      <c r="Z94" s="17">
        <f aca="true" t="shared" si="52" ref="Z94:Z107">IF(AD94=0,J94,0)</f>
        <v>0</v>
      </c>
      <c r="AA94" s="17">
        <f aca="true" t="shared" si="53" ref="AA94:AA107">IF(AD94=15,J94,0)</f>
        <v>0</v>
      </c>
      <c r="AB94" s="17">
        <f aca="true" t="shared" si="54" ref="AB94:AB107">IF(AD94=21,J94,0)</f>
        <v>0</v>
      </c>
      <c r="AD94" s="34">
        <v>21</v>
      </c>
      <c r="AE94" s="34">
        <f>G94*0</f>
        <v>0</v>
      </c>
      <c r="AF94" s="34">
        <f>G94*(1-0)</f>
        <v>0</v>
      </c>
      <c r="AG94" s="29" t="s">
        <v>13</v>
      </c>
      <c r="AM94" s="34">
        <f aca="true" t="shared" si="55" ref="AM94:AM107">F94*AE94</f>
        <v>0</v>
      </c>
      <c r="AN94" s="34">
        <f aca="true" t="shared" si="56" ref="AN94:AN107">F94*AF94</f>
        <v>0</v>
      </c>
      <c r="AO94" s="35" t="s">
        <v>466</v>
      </c>
      <c r="AP94" s="35" t="s">
        <v>487</v>
      </c>
      <c r="AQ94" s="26" t="s">
        <v>491</v>
      </c>
      <c r="AS94" s="34">
        <f aca="true" t="shared" si="57" ref="AS94:AS107">AM94+AN94</f>
        <v>0</v>
      </c>
      <c r="AT94" s="34">
        <f aca="true" t="shared" si="58" ref="AT94:AT107">G94/(100-AU94)*100</f>
        <v>0</v>
      </c>
      <c r="AU94" s="34">
        <v>0</v>
      </c>
      <c r="AV94" s="34">
        <f aca="true" t="shared" si="59" ref="AV94:AV107">L94</f>
        <v>0</v>
      </c>
    </row>
    <row r="95" spans="1:48" ht="12.75">
      <c r="A95" s="4" t="s">
        <v>67</v>
      </c>
      <c r="B95" s="4"/>
      <c r="C95" s="4" t="s">
        <v>191</v>
      </c>
      <c r="D95" s="4" t="s">
        <v>340</v>
      </c>
      <c r="E95" s="4" t="s">
        <v>416</v>
      </c>
      <c r="F95" s="17">
        <v>1</v>
      </c>
      <c r="G95" s="17">
        <v>0</v>
      </c>
      <c r="H95" s="17">
        <f t="shared" si="40"/>
        <v>0</v>
      </c>
      <c r="I95" s="17">
        <f t="shared" si="41"/>
        <v>0</v>
      </c>
      <c r="J95" s="17">
        <f t="shared" si="42"/>
        <v>0</v>
      </c>
      <c r="K95" s="17">
        <v>0</v>
      </c>
      <c r="L95" s="17">
        <f t="shared" si="43"/>
        <v>0</v>
      </c>
      <c r="M95" s="29" t="s">
        <v>434</v>
      </c>
      <c r="P95" s="34">
        <f t="shared" si="44"/>
        <v>0</v>
      </c>
      <c r="R95" s="34">
        <f t="shared" si="45"/>
        <v>0</v>
      </c>
      <c r="S95" s="34">
        <f t="shared" si="46"/>
        <v>0</v>
      </c>
      <c r="T95" s="34">
        <f t="shared" si="47"/>
        <v>0</v>
      </c>
      <c r="U95" s="34">
        <f t="shared" si="48"/>
        <v>0</v>
      </c>
      <c r="V95" s="34">
        <f t="shared" si="49"/>
        <v>0</v>
      </c>
      <c r="W95" s="34">
        <f t="shared" si="50"/>
        <v>0</v>
      </c>
      <c r="X95" s="34">
        <f t="shared" si="51"/>
        <v>0</v>
      </c>
      <c r="Y95" s="26"/>
      <c r="Z95" s="17">
        <f t="shared" si="52"/>
        <v>0</v>
      </c>
      <c r="AA95" s="17">
        <f t="shared" si="53"/>
        <v>0</v>
      </c>
      <c r="AB95" s="17">
        <f t="shared" si="54"/>
        <v>0</v>
      </c>
      <c r="AD95" s="34">
        <v>21</v>
      </c>
      <c r="AE95" s="34">
        <f>G95*0</f>
        <v>0</v>
      </c>
      <c r="AF95" s="34">
        <f>G95*(1-0)</f>
        <v>0</v>
      </c>
      <c r="AG95" s="29" t="s">
        <v>13</v>
      </c>
      <c r="AM95" s="34">
        <f t="shared" si="55"/>
        <v>0</v>
      </c>
      <c r="AN95" s="34">
        <f t="shared" si="56"/>
        <v>0</v>
      </c>
      <c r="AO95" s="35" t="s">
        <v>466</v>
      </c>
      <c r="AP95" s="35" t="s">
        <v>487</v>
      </c>
      <c r="AQ95" s="26" t="s">
        <v>491</v>
      </c>
      <c r="AS95" s="34">
        <f t="shared" si="57"/>
        <v>0</v>
      </c>
      <c r="AT95" s="34">
        <f t="shared" si="58"/>
        <v>0</v>
      </c>
      <c r="AU95" s="34">
        <v>0</v>
      </c>
      <c r="AV95" s="34">
        <f t="shared" si="59"/>
        <v>0</v>
      </c>
    </row>
    <row r="96" spans="1:48" ht="12.75">
      <c r="A96" s="4" t="s">
        <v>68</v>
      </c>
      <c r="B96" s="4"/>
      <c r="C96" s="4" t="s">
        <v>192</v>
      </c>
      <c r="D96" s="4" t="s">
        <v>341</v>
      </c>
      <c r="E96" s="4" t="s">
        <v>413</v>
      </c>
      <c r="F96" s="17">
        <v>12</v>
      </c>
      <c r="G96" s="17">
        <v>0</v>
      </c>
      <c r="H96" s="17">
        <f t="shared" si="40"/>
        <v>0</v>
      </c>
      <c r="I96" s="17">
        <f t="shared" si="41"/>
        <v>0</v>
      </c>
      <c r="J96" s="17">
        <f t="shared" si="42"/>
        <v>0</v>
      </c>
      <c r="K96" s="17">
        <v>0</v>
      </c>
      <c r="L96" s="17">
        <f t="shared" si="43"/>
        <v>0</v>
      </c>
      <c r="M96" s="29" t="s">
        <v>434</v>
      </c>
      <c r="P96" s="34">
        <f t="shared" si="44"/>
        <v>0</v>
      </c>
      <c r="R96" s="34">
        <f t="shared" si="45"/>
        <v>0</v>
      </c>
      <c r="S96" s="34">
        <f t="shared" si="46"/>
        <v>0</v>
      </c>
      <c r="T96" s="34">
        <f t="shared" si="47"/>
        <v>0</v>
      </c>
      <c r="U96" s="34">
        <f t="shared" si="48"/>
        <v>0</v>
      </c>
      <c r="V96" s="34">
        <f t="shared" si="49"/>
        <v>0</v>
      </c>
      <c r="W96" s="34">
        <f t="shared" si="50"/>
        <v>0</v>
      </c>
      <c r="X96" s="34">
        <f t="shared" si="51"/>
        <v>0</v>
      </c>
      <c r="Y96" s="26"/>
      <c r="Z96" s="17">
        <f t="shared" si="52"/>
        <v>0</v>
      </c>
      <c r="AA96" s="17">
        <f t="shared" si="53"/>
        <v>0</v>
      </c>
      <c r="AB96" s="17">
        <f t="shared" si="54"/>
        <v>0</v>
      </c>
      <c r="AD96" s="34">
        <v>21</v>
      </c>
      <c r="AE96" s="34">
        <f>G96*0</f>
        <v>0</v>
      </c>
      <c r="AF96" s="34">
        <f>G96*(1-0)</f>
        <v>0</v>
      </c>
      <c r="AG96" s="29" t="s">
        <v>13</v>
      </c>
      <c r="AM96" s="34">
        <f t="shared" si="55"/>
        <v>0</v>
      </c>
      <c r="AN96" s="34">
        <f t="shared" si="56"/>
        <v>0</v>
      </c>
      <c r="AO96" s="35" t="s">
        <v>466</v>
      </c>
      <c r="AP96" s="35" t="s">
        <v>487</v>
      </c>
      <c r="AQ96" s="26" t="s">
        <v>491</v>
      </c>
      <c r="AS96" s="34">
        <f t="shared" si="57"/>
        <v>0</v>
      </c>
      <c r="AT96" s="34">
        <f t="shared" si="58"/>
        <v>0</v>
      </c>
      <c r="AU96" s="34">
        <v>0</v>
      </c>
      <c r="AV96" s="34">
        <f t="shared" si="59"/>
        <v>0</v>
      </c>
    </row>
    <row r="97" spans="1:48" ht="12.75">
      <c r="A97" s="4" t="s">
        <v>69</v>
      </c>
      <c r="B97" s="4"/>
      <c r="C97" s="4" t="s">
        <v>193</v>
      </c>
      <c r="D97" s="4" t="s">
        <v>342</v>
      </c>
      <c r="E97" s="4" t="s">
        <v>416</v>
      </c>
      <c r="F97" s="17">
        <v>1</v>
      </c>
      <c r="G97" s="17">
        <v>0</v>
      </c>
      <c r="H97" s="17">
        <f t="shared" si="40"/>
        <v>0</v>
      </c>
      <c r="I97" s="17">
        <f t="shared" si="41"/>
        <v>0</v>
      </c>
      <c r="J97" s="17">
        <f t="shared" si="42"/>
        <v>0</v>
      </c>
      <c r="K97" s="17">
        <v>0.08471</v>
      </c>
      <c r="L97" s="17">
        <f t="shared" si="43"/>
        <v>0.08471</v>
      </c>
      <c r="M97" s="29" t="s">
        <v>434</v>
      </c>
      <c r="P97" s="34">
        <f t="shared" si="44"/>
        <v>0</v>
      </c>
      <c r="R97" s="34">
        <f t="shared" si="45"/>
        <v>0</v>
      </c>
      <c r="S97" s="34">
        <f t="shared" si="46"/>
        <v>0</v>
      </c>
      <c r="T97" s="34">
        <f t="shared" si="47"/>
        <v>0</v>
      </c>
      <c r="U97" s="34">
        <f t="shared" si="48"/>
        <v>0</v>
      </c>
      <c r="V97" s="34">
        <f t="shared" si="49"/>
        <v>0</v>
      </c>
      <c r="W97" s="34">
        <f t="shared" si="50"/>
        <v>0</v>
      </c>
      <c r="X97" s="34">
        <f t="shared" si="51"/>
        <v>0</v>
      </c>
      <c r="Y97" s="26"/>
      <c r="Z97" s="17">
        <f t="shared" si="52"/>
        <v>0</v>
      </c>
      <c r="AA97" s="17">
        <f t="shared" si="53"/>
        <v>0</v>
      </c>
      <c r="AB97" s="17">
        <f t="shared" si="54"/>
        <v>0</v>
      </c>
      <c r="AD97" s="34">
        <v>21</v>
      </c>
      <c r="AE97" s="34">
        <f>G97*0.12120350877193</f>
        <v>0</v>
      </c>
      <c r="AF97" s="34">
        <f>G97*(1-0.12120350877193)</f>
        <v>0</v>
      </c>
      <c r="AG97" s="29" t="s">
        <v>13</v>
      </c>
      <c r="AM97" s="34">
        <f t="shared" si="55"/>
        <v>0</v>
      </c>
      <c r="AN97" s="34">
        <f t="shared" si="56"/>
        <v>0</v>
      </c>
      <c r="AO97" s="35" t="s">
        <v>466</v>
      </c>
      <c r="AP97" s="35" t="s">
        <v>487</v>
      </c>
      <c r="AQ97" s="26" t="s">
        <v>491</v>
      </c>
      <c r="AS97" s="34">
        <f t="shared" si="57"/>
        <v>0</v>
      </c>
      <c r="AT97" s="34">
        <f t="shared" si="58"/>
        <v>0</v>
      </c>
      <c r="AU97" s="34">
        <v>0</v>
      </c>
      <c r="AV97" s="34">
        <f t="shared" si="59"/>
        <v>0.08471</v>
      </c>
    </row>
    <row r="98" spans="1:48" ht="12.75">
      <c r="A98" s="4" t="s">
        <v>70</v>
      </c>
      <c r="B98" s="4"/>
      <c r="C98" s="4" t="s">
        <v>194</v>
      </c>
      <c r="D98" s="4" t="s">
        <v>343</v>
      </c>
      <c r="E98" s="4" t="s">
        <v>416</v>
      </c>
      <c r="F98" s="17">
        <v>18</v>
      </c>
      <c r="G98" s="17">
        <v>0</v>
      </c>
      <c r="H98" s="17">
        <f t="shared" si="40"/>
        <v>0</v>
      </c>
      <c r="I98" s="17">
        <f t="shared" si="41"/>
        <v>0</v>
      </c>
      <c r="J98" s="17">
        <f t="shared" si="42"/>
        <v>0</v>
      </c>
      <c r="K98" s="17">
        <v>0.00332</v>
      </c>
      <c r="L98" s="17">
        <f t="shared" si="43"/>
        <v>0.05976</v>
      </c>
      <c r="M98" s="29" t="s">
        <v>434</v>
      </c>
      <c r="P98" s="34">
        <f t="shared" si="44"/>
        <v>0</v>
      </c>
      <c r="R98" s="34">
        <f t="shared" si="45"/>
        <v>0</v>
      </c>
      <c r="S98" s="34">
        <f t="shared" si="46"/>
        <v>0</v>
      </c>
      <c r="T98" s="34">
        <f t="shared" si="47"/>
        <v>0</v>
      </c>
      <c r="U98" s="34">
        <f t="shared" si="48"/>
        <v>0</v>
      </c>
      <c r="V98" s="34">
        <f t="shared" si="49"/>
        <v>0</v>
      </c>
      <c r="W98" s="34">
        <f t="shared" si="50"/>
        <v>0</v>
      </c>
      <c r="X98" s="34">
        <f t="shared" si="51"/>
        <v>0</v>
      </c>
      <c r="Y98" s="26"/>
      <c r="Z98" s="17">
        <f t="shared" si="52"/>
        <v>0</v>
      </c>
      <c r="AA98" s="17">
        <f t="shared" si="53"/>
        <v>0</v>
      </c>
      <c r="AB98" s="17">
        <f t="shared" si="54"/>
        <v>0</v>
      </c>
      <c r="AD98" s="34">
        <v>21</v>
      </c>
      <c r="AE98" s="34">
        <f>G98*0.0615188461231971</f>
        <v>0</v>
      </c>
      <c r="AF98" s="34">
        <f>G98*(1-0.0615188461231971)</f>
        <v>0</v>
      </c>
      <c r="AG98" s="29" t="s">
        <v>13</v>
      </c>
      <c r="AM98" s="34">
        <f t="shared" si="55"/>
        <v>0</v>
      </c>
      <c r="AN98" s="34">
        <f t="shared" si="56"/>
        <v>0</v>
      </c>
      <c r="AO98" s="35" t="s">
        <v>466</v>
      </c>
      <c r="AP98" s="35" t="s">
        <v>487</v>
      </c>
      <c r="AQ98" s="26" t="s">
        <v>491</v>
      </c>
      <c r="AS98" s="34">
        <f t="shared" si="57"/>
        <v>0</v>
      </c>
      <c r="AT98" s="34">
        <f t="shared" si="58"/>
        <v>0</v>
      </c>
      <c r="AU98" s="34">
        <v>0</v>
      </c>
      <c r="AV98" s="34">
        <f t="shared" si="59"/>
        <v>0.05976</v>
      </c>
    </row>
    <row r="99" spans="1:48" ht="12.75">
      <c r="A99" s="4" t="s">
        <v>71</v>
      </c>
      <c r="B99" s="4"/>
      <c r="C99" s="4" t="s">
        <v>195</v>
      </c>
      <c r="D99" s="4" t="s">
        <v>344</v>
      </c>
      <c r="E99" s="4" t="s">
        <v>416</v>
      </c>
      <c r="F99" s="17">
        <v>4</v>
      </c>
      <c r="G99" s="17">
        <v>0</v>
      </c>
      <c r="H99" s="17">
        <f t="shared" si="40"/>
        <v>0</v>
      </c>
      <c r="I99" s="17">
        <f t="shared" si="41"/>
        <v>0</v>
      </c>
      <c r="J99" s="17">
        <f t="shared" si="42"/>
        <v>0</v>
      </c>
      <c r="K99" s="17">
        <v>0</v>
      </c>
      <c r="L99" s="17">
        <f t="shared" si="43"/>
        <v>0</v>
      </c>
      <c r="M99" s="29" t="s">
        <v>434</v>
      </c>
      <c r="P99" s="34">
        <f t="shared" si="44"/>
        <v>0</v>
      </c>
      <c r="R99" s="34">
        <f t="shared" si="45"/>
        <v>0</v>
      </c>
      <c r="S99" s="34">
        <f t="shared" si="46"/>
        <v>0</v>
      </c>
      <c r="T99" s="34">
        <f t="shared" si="47"/>
        <v>0</v>
      </c>
      <c r="U99" s="34">
        <f t="shared" si="48"/>
        <v>0</v>
      </c>
      <c r="V99" s="34">
        <f t="shared" si="49"/>
        <v>0</v>
      </c>
      <c r="W99" s="34">
        <f t="shared" si="50"/>
        <v>0</v>
      </c>
      <c r="X99" s="34">
        <f t="shared" si="51"/>
        <v>0</v>
      </c>
      <c r="Y99" s="26"/>
      <c r="Z99" s="17">
        <f t="shared" si="52"/>
        <v>0</v>
      </c>
      <c r="AA99" s="17">
        <f t="shared" si="53"/>
        <v>0</v>
      </c>
      <c r="AB99" s="17">
        <f t="shared" si="54"/>
        <v>0</v>
      </c>
      <c r="AD99" s="34">
        <v>21</v>
      </c>
      <c r="AE99" s="34">
        <f>G99*0</f>
        <v>0</v>
      </c>
      <c r="AF99" s="34">
        <f>G99*(1-0)</f>
        <v>0</v>
      </c>
      <c r="AG99" s="29" t="s">
        <v>13</v>
      </c>
      <c r="AM99" s="34">
        <f t="shared" si="55"/>
        <v>0</v>
      </c>
      <c r="AN99" s="34">
        <f t="shared" si="56"/>
        <v>0</v>
      </c>
      <c r="AO99" s="35" t="s">
        <v>466</v>
      </c>
      <c r="AP99" s="35" t="s">
        <v>487</v>
      </c>
      <c r="AQ99" s="26" t="s">
        <v>491</v>
      </c>
      <c r="AS99" s="34">
        <f t="shared" si="57"/>
        <v>0</v>
      </c>
      <c r="AT99" s="34">
        <f t="shared" si="58"/>
        <v>0</v>
      </c>
      <c r="AU99" s="34">
        <v>0</v>
      </c>
      <c r="AV99" s="34">
        <f t="shared" si="59"/>
        <v>0</v>
      </c>
    </row>
    <row r="100" spans="1:48" ht="12.75">
      <c r="A100" s="4" t="s">
        <v>72</v>
      </c>
      <c r="B100" s="4"/>
      <c r="C100" s="4" t="s">
        <v>196</v>
      </c>
      <c r="D100" s="4" t="s">
        <v>345</v>
      </c>
      <c r="E100" s="4" t="s">
        <v>413</v>
      </c>
      <c r="F100" s="17">
        <v>14.2</v>
      </c>
      <c r="G100" s="17">
        <v>0</v>
      </c>
      <c r="H100" s="17">
        <f t="shared" si="40"/>
        <v>0</v>
      </c>
      <c r="I100" s="17">
        <f t="shared" si="41"/>
        <v>0</v>
      </c>
      <c r="J100" s="17">
        <f t="shared" si="42"/>
        <v>0</v>
      </c>
      <c r="K100" s="17">
        <v>0.00099</v>
      </c>
      <c r="L100" s="17">
        <f t="shared" si="43"/>
        <v>0.014058</v>
      </c>
      <c r="M100" s="29" t="s">
        <v>434</v>
      </c>
      <c r="P100" s="34">
        <f t="shared" si="44"/>
        <v>0</v>
      </c>
      <c r="R100" s="34">
        <f t="shared" si="45"/>
        <v>0</v>
      </c>
      <c r="S100" s="34">
        <f t="shared" si="46"/>
        <v>0</v>
      </c>
      <c r="T100" s="34">
        <f t="shared" si="47"/>
        <v>0</v>
      </c>
      <c r="U100" s="34">
        <f t="shared" si="48"/>
        <v>0</v>
      </c>
      <c r="V100" s="34">
        <f t="shared" si="49"/>
        <v>0</v>
      </c>
      <c r="W100" s="34">
        <f t="shared" si="50"/>
        <v>0</v>
      </c>
      <c r="X100" s="34">
        <f t="shared" si="51"/>
        <v>0</v>
      </c>
      <c r="Y100" s="26"/>
      <c r="Z100" s="17">
        <f t="shared" si="52"/>
        <v>0</v>
      </c>
      <c r="AA100" s="17">
        <f t="shared" si="53"/>
        <v>0</v>
      </c>
      <c r="AB100" s="17">
        <f t="shared" si="54"/>
        <v>0</v>
      </c>
      <c r="AD100" s="34">
        <v>21</v>
      </c>
      <c r="AE100" s="34">
        <f>G100*0.0469879518072289</f>
        <v>0</v>
      </c>
      <c r="AF100" s="34">
        <f>G100*(1-0.0469879518072289)</f>
        <v>0</v>
      </c>
      <c r="AG100" s="29" t="s">
        <v>13</v>
      </c>
      <c r="AM100" s="34">
        <f t="shared" si="55"/>
        <v>0</v>
      </c>
      <c r="AN100" s="34">
        <f t="shared" si="56"/>
        <v>0</v>
      </c>
      <c r="AO100" s="35" t="s">
        <v>466</v>
      </c>
      <c r="AP100" s="35" t="s">
        <v>487</v>
      </c>
      <c r="AQ100" s="26" t="s">
        <v>491</v>
      </c>
      <c r="AS100" s="34">
        <f t="shared" si="57"/>
        <v>0</v>
      </c>
      <c r="AT100" s="34">
        <f t="shared" si="58"/>
        <v>0</v>
      </c>
      <c r="AU100" s="34">
        <v>0</v>
      </c>
      <c r="AV100" s="34">
        <f t="shared" si="59"/>
        <v>0.014058</v>
      </c>
    </row>
    <row r="101" spans="1:48" ht="12.75">
      <c r="A101" s="4" t="s">
        <v>73</v>
      </c>
      <c r="B101" s="4"/>
      <c r="C101" s="4" t="s">
        <v>197</v>
      </c>
      <c r="D101" s="4" t="s">
        <v>346</v>
      </c>
      <c r="E101" s="4" t="s">
        <v>413</v>
      </c>
      <c r="F101" s="17">
        <v>81.1</v>
      </c>
      <c r="G101" s="17">
        <v>0</v>
      </c>
      <c r="H101" s="17">
        <f t="shared" si="40"/>
        <v>0</v>
      </c>
      <c r="I101" s="17">
        <f t="shared" si="41"/>
        <v>0</v>
      </c>
      <c r="J101" s="17">
        <f t="shared" si="42"/>
        <v>0</v>
      </c>
      <c r="K101" s="17">
        <v>0.00099</v>
      </c>
      <c r="L101" s="17">
        <f t="shared" si="43"/>
        <v>0.080289</v>
      </c>
      <c r="M101" s="29" t="s">
        <v>434</v>
      </c>
      <c r="P101" s="34">
        <f t="shared" si="44"/>
        <v>0</v>
      </c>
      <c r="R101" s="34">
        <f t="shared" si="45"/>
        <v>0</v>
      </c>
      <c r="S101" s="34">
        <f t="shared" si="46"/>
        <v>0</v>
      </c>
      <c r="T101" s="34">
        <f t="shared" si="47"/>
        <v>0</v>
      </c>
      <c r="U101" s="34">
        <f t="shared" si="48"/>
        <v>0</v>
      </c>
      <c r="V101" s="34">
        <f t="shared" si="49"/>
        <v>0</v>
      </c>
      <c r="W101" s="34">
        <f t="shared" si="50"/>
        <v>0</v>
      </c>
      <c r="X101" s="34">
        <f t="shared" si="51"/>
        <v>0</v>
      </c>
      <c r="Y101" s="26"/>
      <c r="Z101" s="17">
        <f t="shared" si="52"/>
        <v>0</v>
      </c>
      <c r="AA101" s="17">
        <f t="shared" si="53"/>
        <v>0</v>
      </c>
      <c r="AB101" s="17">
        <f t="shared" si="54"/>
        <v>0</v>
      </c>
      <c r="AD101" s="34">
        <v>21</v>
      </c>
      <c r="AE101" s="34">
        <f>G101*0.0363354037267081</f>
        <v>0</v>
      </c>
      <c r="AF101" s="34">
        <f>G101*(1-0.0363354037267081)</f>
        <v>0</v>
      </c>
      <c r="AG101" s="29" t="s">
        <v>13</v>
      </c>
      <c r="AM101" s="34">
        <f t="shared" si="55"/>
        <v>0</v>
      </c>
      <c r="AN101" s="34">
        <f t="shared" si="56"/>
        <v>0</v>
      </c>
      <c r="AO101" s="35" t="s">
        <v>466</v>
      </c>
      <c r="AP101" s="35" t="s">
        <v>487</v>
      </c>
      <c r="AQ101" s="26" t="s">
        <v>491</v>
      </c>
      <c r="AS101" s="34">
        <f t="shared" si="57"/>
        <v>0</v>
      </c>
      <c r="AT101" s="34">
        <f t="shared" si="58"/>
        <v>0</v>
      </c>
      <c r="AU101" s="34">
        <v>0</v>
      </c>
      <c r="AV101" s="34">
        <f t="shared" si="59"/>
        <v>0.080289</v>
      </c>
    </row>
    <row r="102" spans="1:48" ht="12.75">
      <c r="A102" s="4" t="s">
        <v>74</v>
      </c>
      <c r="B102" s="4"/>
      <c r="C102" s="4" t="s">
        <v>198</v>
      </c>
      <c r="D102" s="4" t="s">
        <v>347</v>
      </c>
      <c r="E102" s="4" t="s">
        <v>414</v>
      </c>
      <c r="F102" s="17">
        <v>78.36</v>
      </c>
      <c r="G102" s="17">
        <v>0</v>
      </c>
      <c r="H102" s="17">
        <f t="shared" si="40"/>
        <v>0</v>
      </c>
      <c r="I102" s="17">
        <f t="shared" si="41"/>
        <v>0</v>
      </c>
      <c r="J102" s="17">
        <f t="shared" si="42"/>
        <v>0</v>
      </c>
      <c r="K102" s="17">
        <v>0.007</v>
      </c>
      <c r="L102" s="17">
        <f t="shared" si="43"/>
        <v>0.54852</v>
      </c>
      <c r="M102" s="29" t="s">
        <v>434</v>
      </c>
      <c r="P102" s="34">
        <f t="shared" si="44"/>
        <v>0</v>
      </c>
      <c r="R102" s="34">
        <f t="shared" si="45"/>
        <v>0</v>
      </c>
      <c r="S102" s="34">
        <f t="shared" si="46"/>
        <v>0</v>
      </c>
      <c r="T102" s="34">
        <f t="shared" si="47"/>
        <v>0</v>
      </c>
      <c r="U102" s="34">
        <f t="shared" si="48"/>
        <v>0</v>
      </c>
      <c r="V102" s="34">
        <f t="shared" si="49"/>
        <v>0</v>
      </c>
      <c r="W102" s="34">
        <f t="shared" si="50"/>
        <v>0</v>
      </c>
      <c r="X102" s="34">
        <f t="shared" si="51"/>
        <v>0</v>
      </c>
      <c r="Y102" s="26"/>
      <c r="Z102" s="17">
        <f t="shared" si="52"/>
        <v>0</v>
      </c>
      <c r="AA102" s="17">
        <f t="shared" si="53"/>
        <v>0</v>
      </c>
      <c r="AB102" s="17">
        <f t="shared" si="54"/>
        <v>0</v>
      </c>
      <c r="AD102" s="34">
        <v>21</v>
      </c>
      <c r="AE102" s="34">
        <f>G102*0</f>
        <v>0</v>
      </c>
      <c r="AF102" s="34">
        <f>G102*(1-0)</f>
        <v>0</v>
      </c>
      <c r="AG102" s="29" t="s">
        <v>13</v>
      </c>
      <c r="AM102" s="34">
        <f t="shared" si="55"/>
        <v>0</v>
      </c>
      <c r="AN102" s="34">
        <f t="shared" si="56"/>
        <v>0</v>
      </c>
      <c r="AO102" s="35" t="s">
        <v>466</v>
      </c>
      <c r="AP102" s="35" t="s">
        <v>487</v>
      </c>
      <c r="AQ102" s="26" t="s">
        <v>491</v>
      </c>
      <c r="AS102" s="34">
        <f t="shared" si="57"/>
        <v>0</v>
      </c>
      <c r="AT102" s="34">
        <f t="shared" si="58"/>
        <v>0</v>
      </c>
      <c r="AU102" s="34">
        <v>0</v>
      </c>
      <c r="AV102" s="34">
        <f t="shared" si="59"/>
        <v>0.54852</v>
      </c>
    </row>
    <row r="103" spans="1:48" ht="12.75">
      <c r="A103" s="4" t="s">
        <v>75</v>
      </c>
      <c r="B103" s="4"/>
      <c r="C103" s="4" t="s">
        <v>199</v>
      </c>
      <c r="D103" s="4" t="s">
        <v>348</v>
      </c>
      <c r="E103" s="4" t="s">
        <v>412</v>
      </c>
      <c r="F103" s="17">
        <v>1.46</v>
      </c>
      <c r="G103" s="17">
        <v>0</v>
      </c>
      <c r="H103" s="17">
        <f t="shared" si="40"/>
        <v>0</v>
      </c>
      <c r="I103" s="17">
        <f t="shared" si="41"/>
        <v>0</v>
      </c>
      <c r="J103" s="17">
        <f t="shared" si="42"/>
        <v>0</v>
      </c>
      <c r="K103" s="17">
        <v>0.02357</v>
      </c>
      <c r="L103" s="17">
        <f t="shared" si="43"/>
        <v>0.0344122</v>
      </c>
      <c r="M103" s="29" t="s">
        <v>434</v>
      </c>
      <c r="P103" s="34">
        <f t="shared" si="44"/>
        <v>0</v>
      </c>
      <c r="R103" s="34">
        <f t="shared" si="45"/>
        <v>0</v>
      </c>
      <c r="S103" s="34">
        <f t="shared" si="46"/>
        <v>0</v>
      </c>
      <c r="T103" s="34">
        <f t="shared" si="47"/>
        <v>0</v>
      </c>
      <c r="U103" s="34">
        <f t="shared" si="48"/>
        <v>0</v>
      </c>
      <c r="V103" s="34">
        <f t="shared" si="49"/>
        <v>0</v>
      </c>
      <c r="W103" s="34">
        <f t="shared" si="50"/>
        <v>0</v>
      </c>
      <c r="X103" s="34">
        <f t="shared" si="51"/>
        <v>0</v>
      </c>
      <c r="Y103" s="26"/>
      <c r="Z103" s="17">
        <f t="shared" si="52"/>
        <v>0</v>
      </c>
      <c r="AA103" s="17">
        <f t="shared" si="53"/>
        <v>0</v>
      </c>
      <c r="AB103" s="17">
        <f t="shared" si="54"/>
        <v>0</v>
      </c>
      <c r="AD103" s="34">
        <v>21</v>
      </c>
      <c r="AE103" s="34">
        <f>G103*1</f>
        <v>0</v>
      </c>
      <c r="AF103" s="34">
        <f>G103*(1-1)</f>
        <v>0</v>
      </c>
      <c r="AG103" s="29" t="s">
        <v>13</v>
      </c>
      <c r="AM103" s="34">
        <f t="shared" si="55"/>
        <v>0</v>
      </c>
      <c r="AN103" s="34">
        <f t="shared" si="56"/>
        <v>0</v>
      </c>
      <c r="AO103" s="35" t="s">
        <v>466</v>
      </c>
      <c r="AP103" s="35" t="s">
        <v>487</v>
      </c>
      <c r="AQ103" s="26" t="s">
        <v>491</v>
      </c>
      <c r="AS103" s="34">
        <f t="shared" si="57"/>
        <v>0</v>
      </c>
      <c r="AT103" s="34">
        <f t="shared" si="58"/>
        <v>0</v>
      </c>
      <c r="AU103" s="34">
        <v>0</v>
      </c>
      <c r="AV103" s="34">
        <f t="shared" si="59"/>
        <v>0.0344122</v>
      </c>
    </row>
    <row r="104" spans="1:48" ht="12.75">
      <c r="A104" s="4" t="s">
        <v>76</v>
      </c>
      <c r="B104" s="4"/>
      <c r="C104" s="4" t="s">
        <v>200</v>
      </c>
      <c r="D104" s="4" t="s">
        <v>349</v>
      </c>
      <c r="E104" s="4" t="s">
        <v>414</v>
      </c>
      <c r="F104" s="17">
        <v>78.36</v>
      </c>
      <c r="G104" s="17">
        <v>0</v>
      </c>
      <c r="H104" s="17">
        <f t="shared" si="40"/>
        <v>0</v>
      </c>
      <c r="I104" s="17">
        <f t="shared" si="41"/>
        <v>0</v>
      </c>
      <c r="J104" s="17">
        <f t="shared" si="42"/>
        <v>0</v>
      </c>
      <c r="K104" s="17">
        <v>0.03924</v>
      </c>
      <c r="L104" s="17">
        <f t="shared" si="43"/>
        <v>3.0748463999999998</v>
      </c>
      <c r="M104" s="29" t="s">
        <v>434</v>
      </c>
      <c r="P104" s="34">
        <f t="shared" si="44"/>
        <v>0</v>
      </c>
      <c r="R104" s="34">
        <f t="shared" si="45"/>
        <v>0</v>
      </c>
      <c r="S104" s="34">
        <f t="shared" si="46"/>
        <v>0</v>
      </c>
      <c r="T104" s="34">
        <f t="shared" si="47"/>
        <v>0</v>
      </c>
      <c r="U104" s="34">
        <f t="shared" si="48"/>
        <v>0</v>
      </c>
      <c r="V104" s="34">
        <f t="shared" si="49"/>
        <v>0</v>
      </c>
      <c r="W104" s="34">
        <f t="shared" si="50"/>
        <v>0</v>
      </c>
      <c r="X104" s="34">
        <f t="shared" si="51"/>
        <v>0</v>
      </c>
      <c r="Y104" s="26"/>
      <c r="Z104" s="17">
        <f t="shared" si="52"/>
        <v>0</v>
      </c>
      <c r="AA104" s="17">
        <f t="shared" si="53"/>
        <v>0</v>
      </c>
      <c r="AB104" s="17">
        <f t="shared" si="54"/>
        <v>0</v>
      </c>
      <c r="AD104" s="34">
        <v>21</v>
      </c>
      <c r="AE104" s="34">
        <f>G104*0</f>
        <v>0</v>
      </c>
      <c r="AF104" s="34">
        <f>G104*(1-0)</f>
        <v>0</v>
      </c>
      <c r="AG104" s="29" t="s">
        <v>13</v>
      </c>
      <c r="AM104" s="34">
        <f t="shared" si="55"/>
        <v>0</v>
      </c>
      <c r="AN104" s="34">
        <f t="shared" si="56"/>
        <v>0</v>
      </c>
      <c r="AO104" s="35" t="s">
        <v>466</v>
      </c>
      <c r="AP104" s="35" t="s">
        <v>487</v>
      </c>
      <c r="AQ104" s="26" t="s">
        <v>491</v>
      </c>
      <c r="AS104" s="34">
        <f t="shared" si="57"/>
        <v>0</v>
      </c>
      <c r="AT104" s="34">
        <f t="shared" si="58"/>
        <v>0</v>
      </c>
      <c r="AU104" s="34">
        <v>0</v>
      </c>
      <c r="AV104" s="34">
        <f t="shared" si="59"/>
        <v>3.0748463999999998</v>
      </c>
    </row>
    <row r="105" spans="1:48" ht="12.75">
      <c r="A105" s="4" t="s">
        <v>77</v>
      </c>
      <c r="B105" s="4"/>
      <c r="C105" s="4" t="s">
        <v>201</v>
      </c>
      <c r="D105" s="4" t="s">
        <v>350</v>
      </c>
      <c r="E105" s="4" t="s">
        <v>414</v>
      </c>
      <c r="F105" s="17">
        <v>100</v>
      </c>
      <c r="G105" s="17">
        <v>0</v>
      </c>
      <c r="H105" s="17">
        <f t="shared" si="40"/>
        <v>0</v>
      </c>
      <c r="I105" s="17">
        <f t="shared" si="41"/>
        <v>0</v>
      </c>
      <c r="J105" s="17">
        <f t="shared" si="42"/>
        <v>0</v>
      </c>
      <c r="K105" s="17">
        <v>6E-05</v>
      </c>
      <c r="L105" s="17">
        <f t="shared" si="43"/>
        <v>0.006</v>
      </c>
      <c r="M105" s="29" t="s">
        <v>434</v>
      </c>
      <c r="P105" s="34">
        <f t="shared" si="44"/>
        <v>0</v>
      </c>
      <c r="R105" s="34">
        <f t="shared" si="45"/>
        <v>0</v>
      </c>
      <c r="S105" s="34">
        <f t="shared" si="46"/>
        <v>0</v>
      </c>
      <c r="T105" s="34">
        <f t="shared" si="47"/>
        <v>0</v>
      </c>
      <c r="U105" s="34">
        <f t="shared" si="48"/>
        <v>0</v>
      </c>
      <c r="V105" s="34">
        <f t="shared" si="49"/>
        <v>0</v>
      </c>
      <c r="W105" s="34">
        <f t="shared" si="50"/>
        <v>0</v>
      </c>
      <c r="X105" s="34">
        <f t="shared" si="51"/>
        <v>0</v>
      </c>
      <c r="Y105" s="26"/>
      <c r="Z105" s="17">
        <f t="shared" si="52"/>
        <v>0</v>
      </c>
      <c r="AA105" s="17">
        <f t="shared" si="53"/>
        <v>0</v>
      </c>
      <c r="AB105" s="17">
        <f t="shared" si="54"/>
        <v>0</v>
      </c>
      <c r="AD105" s="34">
        <v>21</v>
      </c>
      <c r="AE105" s="34">
        <f>G105*0.705594405594406</f>
        <v>0</v>
      </c>
      <c r="AF105" s="34">
        <f>G105*(1-0.705594405594406)</f>
        <v>0</v>
      </c>
      <c r="AG105" s="29" t="s">
        <v>13</v>
      </c>
      <c r="AM105" s="34">
        <f t="shared" si="55"/>
        <v>0</v>
      </c>
      <c r="AN105" s="34">
        <f t="shared" si="56"/>
        <v>0</v>
      </c>
      <c r="AO105" s="35" t="s">
        <v>466</v>
      </c>
      <c r="AP105" s="35" t="s">
        <v>487</v>
      </c>
      <c r="AQ105" s="26" t="s">
        <v>491</v>
      </c>
      <c r="AS105" s="34">
        <f t="shared" si="57"/>
        <v>0</v>
      </c>
      <c r="AT105" s="34">
        <f t="shared" si="58"/>
        <v>0</v>
      </c>
      <c r="AU105" s="34">
        <v>0</v>
      </c>
      <c r="AV105" s="34">
        <f t="shared" si="59"/>
        <v>0.006</v>
      </c>
    </row>
    <row r="106" spans="1:48" ht="12.75">
      <c r="A106" s="6" t="s">
        <v>78</v>
      </c>
      <c r="B106" s="6"/>
      <c r="C106" s="6" t="s">
        <v>202</v>
      </c>
      <c r="D106" s="6" t="s">
        <v>351</v>
      </c>
      <c r="E106" s="6" t="s">
        <v>412</v>
      </c>
      <c r="F106" s="18">
        <v>1.46</v>
      </c>
      <c r="G106" s="18">
        <v>0</v>
      </c>
      <c r="H106" s="18">
        <f t="shared" si="40"/>
        <v>0</v>
      </c>
      <c r="I106" s="18">
        <f t="shared" si="41"/>
        <v>0</v>
      </c>
      <c r="J106" s="18">
        <f t="shared" si="42"/>
        <v>0</v>
      </c>
      <c r="K106" s="18">
        <v>0.55</v>
      </c>
      <c r="L106" s="18">
        <f t="shared" si="43"/>
        <v>0.803</v>
      </c>
      <c r="M106" s="30" t="s">
        <v>434</v>
      </c>
      <c r="P106" s="34">
        <f t="shared" si="44"/>
        <v>0</v>
      </c>
      <c r="R106" s="34">
        <f t="shared" si="45"/>
        <v>0</v>
      </c>
      <c r="S106" s="34">
        <f t="shared" si="46"/>
        <v>0</v>
      </c>
      <c r="T106" s="34">
        <f t="shared" si="47"/>
        <v>0</v>
      </c>
      <c r="U106" s="34">
        <f t="shared" si="48"/>
        <v>0</v>
      </c>
      <c r="V106" s="34">
        <f t="shared" si="49"/>
        <v>0</v>
      </c>
      <c r="W106" s="34">
        <f t="shared" si="50"/>
        <v>0</v>
      </c>
      <c r="X106" s="34">
        <f t="shared" si="51"/>
        <v>0</v>
      </c>
      <c r="Y106" s="26"/>
      <c r="Z106" s="18">
        <f t="shared" si="52"/>
        <v>0</v>
      </c>
      <c r="AA106" s="18">
        <f t="shared" si="53"/>
        <v>0</v>
      </c>
      <c r="AB106" s="18">
        <f t="shared" si="54"/>
        <v>0</v>
      </c>
      <c r="AD106" s="34">
        <v>21</v>
      </c>
      <c r="AE106" s="34">
        <f>G106*1</f>
        <v>0</v>
      </c>
      <c r="AF106" s="34">
        <f>G106*(1-1)</f>
        <v>0</v>
      </c>
      <c r="AG106" s="30" t="s">
        <v>13</v>
      </c>
      <c r="AM106" s="34">
        <f t="shared" si="55"/>
        <v>0</v>
      </c>
      <c r="AN106" s="34">
        <f t="shared" si="56"/>
        <v>0</v>
      </c>
      <c r="AO106" s="35" t="s">
        <v>466</v>
      </c>
      <c r="AP106" s="35" t="s">
        <v>487</v>
      </c>
      <c r="AQ106" s="26" t="s">
        <v>491</v>
      </c>
      <c r="AS106" s="34">
        <f t="shared" si="57"/>
        <v>0</v>
      </c>
      <c r="AT106" s="34">
        <f t="shared" si="58"/>
        <v>0</v>
      </c>
      <c r="AU106" s="34">
        <v>0</v>
      </c>
      <c r="AV106" s="34">
        <f t="shared" si="59"/>
        <v>0.803</v>
      </c>
    </row>
    <row r="107" spans="1:48" ht="12.75">
      <c r="A107" s="4" t="s">
        <v>79</v>
      </c>
      <c r="B107" s="4"/>
      <c r="C107" s="4" t="s">
        <v>203</v>
      </c>
      <c r="D107" s="4" t="s">
        <v>352</v>
      </c>
      <c r="E107" s="4" t="s">
        <v>415</v>
      </c>
      <c r="F107" s="17">
        <v>4.7056</v>
      </c>
      <c r="G107" s="17">
        <v>0</v>
      </c>
      <c r="H107" s="17">
        <f t="shared" si="40"/>
        <v>0</v>
      </c>
      <c r="I107" s="17">
        <f t="shared" si="41"/>
        <v>0</v>
      </c>
      <c r="J107" s="17">
        <f t="shared" si="42"/>
        <v>0</v>
      </c>
      <c r="K107" s="17">
        <v>0</v>
      </c>
      <c r="L107" s="17">
        <f t="shared" si="43"/>
        <v>0</v>
      </c>
      <c r="M107" s="29" t="s">
        <v>434</v>
      </c>
      <c r="P107" s="34">
        <f t="shared" si="44"/>
        <v>0</v>
      </c>
      <c r="R107" s="34">
        <f t="shared" si="45"/>
        <v>0</v>
      </c>
      <c r="S107" s="34">
        <f t="shared" si="46"/>
        <v>0</v>
      </c>
      <c r="T107" s="34">
        <f t="shared" si="47"/>
        <v>0</v>
      </c>
      <c r="U107" s="34">
        <f t="shared" si="48"/>
        <v>0</v>
      </c>
      <c r="V107" s="34">
        <f t="shared" si="49"/>
        <v>0</v>
      </c>
      <c r="W107" s="34">
        <f t="shared" si="50"/>
        <v>0</v>
      </c>
      <c r="X107" s="34">
        <f t="shared" si="51"/>
        <v>0</v>
      </c>
      <c r="Y107" s="26"/>
      <c r="Z107" s="17">
        <f t="shared" si="52"/>
        <v>0</v>
      </c>
      <c r="AA107" s="17">
        <f t="shared" si="53"/>
        <v>0</v>
      </c>
      <c r="AB107" s="17">
        <f t="shared" si="54"/>
        <v>0</v>
      </c>
      <c r="AD107" s="34">
        <v>21</v>
      </c>
      <c r="AE107" s="34">
        <f>G107*0</f>
        <v>0</v>
      </c>
      <c r="AF107" s="34">
        <f>G107*(1-0)</f>
        <v>0</v>
      </c>
      <c r="AG107" s="29" t="s">
        <v>11</v>
      </c>
      <c r="AM107" s="34">
        <f t="shared" si="55"/>
        <v>0</v>
      </c>
      <c r="AN107" s="34">
        <f t="shared" si="56"/>
        <v>0</v>
      </c>
      <c r="AO107" s="35" t="s">
        <v>466</v>
      </c>
      <c r="AP107" s="35" t="s">
        <v>487</v>
      </c>
      <c r="AQ107" s="26" t="s">
        <v>491</v>
      </c>
      <c r="AS107" s="34">
        <f t="shared" si="57"/>
        <v>0</v>
      </c>
      <c r="AT107" s="34">
        <f t="shared" si="58"/>
        <v>0</v>
      </c>
      <c r="AU107" s="34">
        <v>0</v>
      </c>
      <c r="AV107" s="34">
        <f t="shared" si="59"/>
        <v>0</v>
      </c>
    </row>
    <row r="108" spans="1:37" ht="12.75">
      <c r="A108" s="5"/>
      <c r="B108" s="13"/>
      <c r="C108" s="13" t="s">
        <v>204</v>
      </c>
      <c r="D108" s="92" t="s">
        <v>353</v>
      </c>
      <c r="E108" s="93"/>
      <c r="F108" s="93"/>
      <c r="G108" s="93"/>
      <c r="H108" s="37">
        <f>SUM(H109:H111)</f>
        <v>0</v>
      </c>
      <c r="I108" s="37">
        <f>SUM(I109:I111)</f>
        <v>0</v>
      </c>
      <c r="J108" s="37">
        <f>H108+I108</f>
        <v>0</v>
      </c>
      <c r="K108" s="26"/>
      <c r="L108" s="37">
        <f>SUM(L109:L111)</f>
        <v>0.692445</v>
      </c>
      <c r="M108" s="26"/>
      <c r="Y108" s="26"/>
      <c r="AI108" s="37">
        <f>SUM(Z109:Z111)</f>
        <v>0</v>
      </c>
      <c r="AJ108" s="37">
        <f>SUM(AA109:AA111)</f>
        <v>0</v>
      </c>
      <c r="AK108" s="37">
        <f>SUM(AB109:AB111)</f>
        <v>0</v>
      </c>
    </row>
    <row r="109" spans="1:48" ht="12.75">
      <c r="A109" s="4" t="s">
        <v>80</v>
      </c>
      <c r="B109" s="4"/>
      <c r="C109" s="4" t="s">
        <v>205</v>
      </c>
      <c r="D109" s="4" t="s">
        <v>354</v>
      </c>
      <c r="E109" s="4" t="s">
        <v>414</v>
      </c>
      <c r="F109" s="17">
        <v>53</v>
      </c>
      <c r="G109" s="17">
        <v>0</v>
      </c>
      <c r="H109" s="17">
        <f>F109*AE109</f>
        <v>0</v>
      </c>
      <c r="I109" s="17">
        <f>J109-H109</f>
        <v>0</v>
      </c>
      <c r="J109" s="17">
        <f>F109*G109</f>
        <v>0</v>
      </c>
      <c r="K109" s="17">
        <v>7E-05</v>
      </c>
      <c r="L109" s="17">
        <f>F109*K109</f>
        <v>0.0037099999999999998</v>
      </c>
      <c r="M109" s="29" t="s">
        <v>434</v>
      </c>
      <c r="P109" s="34">
        <f>IF(AG109="5",J109,0)</f>
        <v>0</v>
      </c>
      <c r="R109" s="34">
        <f>IF(AG109="1",H109,0)</f>
        <v>0</v>
      </c>
      <c r="S109" s="34">
        <f>IF(AG109="1",I109,0)</f>
        <v>0</v>
      </c>
      <c r="T109" s="34">
        <f>IF(AG109="7",H109,0)</f>
        <v>0</v>
      </c>
      <c r="U109" s="34">
        <f>IF(AG109="7",I109,0)</f>
        <v>0</v>
      </c>
      <c r="V109" s="34">
        <f>IF(AG109="2",H109,0)</f>
        <v>0</v>
      </c>
      <c r="W109" s="34">
        <f>IF(AG109="2",I109,0)</f>
        <v>0</v>
      </c>
      <c r="X109" s="34">
        <f>IF(AG109="0",J109,0)</f>
        <v>0</v>
      </c>
      <c r="Y109" s="26"/>
      <c r="Z109" s="17">
        <f>IF(AD109=0,J109,0)</f>
        <v>0</v>
      </c>
      <c r="AA109" s="17">
        <f>IF(AD109=15,J109,0)</f>
        <v>0</v>
      </c>
      <c r="AB109" s="17">
        <f>IF(AD109=21,J109,0)</f>
        <v>0</v>
      </c>
      <c r="AD109" s="34">
        <v>21</v>
      </c>
      <c r="AE109" s="34">
        <f>G109*0.034143010438006</f>
        <v>0</v>
      </c>
      <c r="AF109" s="34">
        <f>G109*(1-0.034143010438006)</f>
        <v>0</v>
      </c>
      <c r="AG109" s="29" t="s">
        <v>13</v>
      </c>
      <c r="AM109" s="34">
        <f>F109*AE109</f>
        <v>0</v>
      </c>
      <c r="AN109" s="34">
        <f>F109*AF109</f>
        <v>0</v>
      </c>
      <c r="AO109" s="35" t="s">
        <v>467</v>
      </c>
      <c r="AP109" s="35" t="s">
        <v>487</v>
      </c>
      <c r="AQ109" s="26" t="s">
        <v>491</v>
      </c>
      <c r="AS109" s="34">
        <f>AM109+AN109</f>
        <v>0</v>
      </c>
      <c r="AT109" s="34">
        <f>G109/(100-AU109)*100</f>
        <v>0</v>
      </c>
      <c r="AU109" s="34">
        <v>0</v>
      </c>
      <c r="AV109" s="34">
        <f>L109</f>
        <v>0.0037099999999999998</v>
      </c>
    </row>
    <row r="110" spans="1:48" ht="12.75">
      <c r="A110" s="6" t="s">
        <v>81</v>
      </c>
      <c r="B110" s="6"/>
      <c r="C110" s="6" t="s">
        <v>206</v>
      </c>
      <c r="D110" s="6" t="s">
        <v>355</v>
      </c>
      <c r="E110" s="6" t="s">
        <v>414</v>
      </c>
      <c r="F110" s="18">
        <v>60.95</v>
      </c>
      <c r="G110" s="18">
        <v>0</v>
      </c>
      <c r="H110" s="18">
        <f>F110*AE110</f>
        <v>0</v>
      </c>
      <c r="I110" s="18">
        <f>J110-H110</f>
        <v>0</v>
      </c>
      <c r="J110" s="18">
        <f>F110*G110</f>
        <v>0</v>
      </c>
      <c r="K110" s="18">
        <v>0.0113</v>
      </c>
      <c r="L110" s="18">
        <f>F110*K110</f>
        <v>0.688735</v>
      </c>
      <c r="M110" s="30" t="s">
        <v>434</v>
      </c>
      <c r="P110" s="34">
        <f>IF(AG110="5",J110,0)</f>
        <v>0</v>
      </c>
      <c r="R110" s="34">
        <f>IF(AG110="1",H110,0)</f>
        <v>0</v>
      </c>
      <c r="S110" s="34">
        <f>IF(AG110="1",I110,0)</f>
        <v>0</v>
      </c>
      <c r="T110" s="34">
        <f>IF(AG110="7",H110,0)</f>
        <v>0</v>
      </c>
      <c r="U110" s="34">
        <f>IF(AG110="7",I110,0)</f>
        <v>0</v>
      </c>
      <c r="V110" s="34">
        <f>IF(AG110="2",H110,0)</f>
        <v>0</v>
      </c>
      <c r="W110" s="34">
        <f>IF(AG110="2",I110,0)</f>
        <v>0</v>
      </c>
      <c r="X110" s="34">
        <f>IF(AG110="0",J110,0)</f>
        <v>0</v>
      </c>
      <c r="Y110" s="26"/>
      <c r="Z110" s="18">
        <f>IF(AD110=0,J110,0)</f>
        <v>0</v>
      </c>
      <c r="AA110" s="18">
        <f>IF(AD110=15,J110,0)</f>
        <v>0</v>
      </c>
      <c r="AB110" s="18">
        <f>IF(AD110=21,J110,0)</f>
        <v>0</v>
      </c>
      <c r="AD110" s="34">
        <v>21</v>
      </c>
      <c r="AE110" s="34">
        <f>G110*1</f>
        <v>0</v>
      </c>
      <c r="AF110" s="34">
        <f>G110*(1-1)</f>
        <v>0</v>
      </c>
      <c r="AG110" s="30" t="s">
        <v>13</v>
      </c>
      <c r="AM110" s="34">
        <f>F110*AE110</f>
        <v>0</v>
      </c>
      <c r="AN110" s="34">
        <f>F110*AF110</f>
        <v>0</v>
      </c>
      <c r="AO110" s="35" t="s">
        <v>467</v>
      </c>
      <c r="AP110" s="35" t="s">
        <v>487</v>
      </c>
      <c r="AQ110" s="26" t="s">
        <v>491</v>
      </c>
      <c r="AS110" s="34">
        <f>AM110+AN110</f>
        <v>0</v>
      </c>
      <c r="AT110" s="34">
        <f>G110/(100-AU110)*100</f>
        <v>0</v>
      </c>
      <c r="AU110" s="34">
        <v>0</v>
      </c>
      <c r="AV110" s="34">
        <f>L110</f>
        <v>0.688735</v>
      </c>
    </row>
    <row r="111" spans="1:48" ht="12.75">
      <c r="A111" s="4" t="s">
        <v>82</v>
      </c>
      <c r="B111" s="4"/>
      <c r="C111" s="4" t="s">
        <v>207</v>
      </c>
      <c r="D111" s="4" t="s">
        <v>356</v>
      </c>
      <c r="E111" s="4" t="s">
        <v>415</v>
      </c>
      <c r="F111" s="17">
        <v>0.69244</v>
      </c>
      <c r="G111" s="17">
        <v>0</v>
      </c>
      <c r="H111" s="17">
        <f>F111*AE111</f>
        <v>0</v>
      </c>
      <c r="I111" s="17">
        <f>J111-H111</f>
        <v>0</v>
      </c>
      <c r="J111" s="17">
        <f>F111*G111</f>
        <v>0</v>
      </c>
      <c r="K111" s="17">
        <v>0</v>
      </c>
      <c r="L111" s="17">
        <f>F111*K111</f>
        <v>0</v>
      </c>
      <c r="M111" s="29" t="s">
        <v>434</v>
      </c>
      <c r="P111" s="34">
        <f>IF(AG111="5",J111,0)</f>
        <v>0</v>
      </c>
      <c r="R111" s="34">
        <f>IF(AG111="1",H111,0)</f>
        <v>0</v>
      </c>
      <c r="S111" s="34">
        <f>IF(AG111="1",I111,0)</f>
        <v>0</v>
      </c>
      <c r="T111" s="34">
        <f>IF(AG111="7",H111,0)</f>
        <v>0</v>
      </c>
      <c r="U111" s="34">
        <f>IF(AG111="7",I111,0)</f>
        <v>0</v>
      </c>
      <c r="V111" s="34">
        <f>IF(AG111="2",H111,0)</f>
        <v>0</v>
      </c>
      <c r="W111" s="34">
        <f>IF(AG111="2",I111,0)</f>
        <v>0</v>
      </c>
      <c r="X111" s="34">
        <f>IF(AG111="0",J111,0)</f>
        <v>0</v>
      </c>
      <c r="Y111" s="26"/>
      <c r="Z111" s="17">
        <f>IF(AD111=0,J111,0)</f>
        <v>0</v>
      </c>
      <c r="AA111" s="17">
        <f>IF(AD111=15,J111,0)</f>
        <v>0</v>
      </c>
      <c r="AB111" s="17">
        <f>IF(AD111=21,J111,0)</f>
        <v>0</v>
      </c>
      <c r="AD111" s="34">
        <v>21</v>
      </c>
      <c r="AE111" s="34">
        <f>G111*0</f>
        <v>0</v>
      </c>
      <c r="AF111" s="34">
        <f>G111*(1-0)</f>
        <v>0</v>
      </c>
      <c r="AG111" s="29" t="s">
        <v>11</v>
      </c>
      <c r="AM111" s="34">
        <f>F111*AE111</f>
        <v>0</v>
      </c>
      <c r="AN111" s="34">
        <f>F111*AF111</f>
        <v>0</v>
      </c>
      <c r="AO111" s="35" t="s">
        <v>467</v>
      </c>
      <c r="AP111" s="35" t="s">
        <v>487</v>
      </c>
      <c r="AQ111" s="26" t="s">
        <v>491</v>
      </c>
      <c r="AS111" s="34">
        <f>AM111+AN111</f>
        <v>0</v>
      </c>
      <c r="AT111" s="34">
        <f>G111/(100-AU111)*100</f>
        <v>0</v>
      </c>
      <c r="AU111" s="34">
        <v>0</v>
      </c>
      <c r="AV111" s="34">
        <f>L111</f>
        <v>0</v>
      </c>
    </row>
    <row r="112" spans="1:37" ht="12.75">
      <c r="A112" s="5"/>
      <c r="B112" s="13"/>
      <c r="C112" s="13" t="s">
        <v>208</v>
      </c>
      <c r="D112" s="92" t="s">
        <v>357</v>
      </c>
      <c r="E112" s="93"/>
      <c r="F112" s="93"/>
      <c r="G112" s="93"/>
      <c r="H112" s="37">
        <f>SUM(H113:H120)</f>
        <v>0</v>
      </c>
      <c r="I112" s="37">
        <f>SUM(I113:I120)</f>
        <v>0</v>
      </c>
      <c r="J112" s="37">
        <f>H112+I112</f>
        <v>0</v>
      </c>
      <c r="K112" s="26"/>
      <c r="L112" s="37">
        <f>SUM(L113:L120)</f>
        <v>0.1369426</v>
      </c>
      <c r="M112" s="26"/>
      <c r="Y112" s="26"/>
      <c r="AI112" s="37">
        <f>SUM(Z113:Z120)</f>
        <v>0</v>
      </c>
      <c r="AJ112" s="37">
        <f>SUM(AA113:AA120)</f>
        <v>0</v>
      </c>
      <c r="AK112" s="37">
        <f>SUM(AB113:AB120)</f>
        <v>0</v>
      </c>
    </row>
    <row r="113" spans="1:48" ht="12.75">
      <c r="A113" s="4" t="s">
        <v>83</v>
      </c>
      <c r="B113" s="4"/>
      <c r="C113" s="4" t="s">
        <v>209</v>
      </c>
      <c r="D113" s="4" t="s">
        <v>358</v>
      </c>
      <c r="E113" s="4" t="s">
        <v>413</v>
      </c>
      <c r="F113" s="17">
        <v>18.37</v>
      </c>
      <c r="G113" s="17">
        <v>0</v>
      </c>
      <c r="H113" s="17">
        <f aca="true" t="shared" si="60" ref="H113:H120">F113*AE113</f>
        <v>0</v>
      </c>
      <c r="I113" s="17">
        <f aca="true" t="shared" si="61" ref="I113:I120">J113-H113</f>
        <v>0</v>
      </c>
      <c r="J113" s="17">
        <f aca="true" t="shared" si="62" ref="J113:J120">F113*G113</f>
        <v>0</v>
      </c>
      <c r="K113" s="17">
        <v>0.00263</v>
      </c>
      <c r="L113" s="17">
        <f aca="true" t="shared" si="63" ref="L113:L120">F113*K113</f>
        <v>0.048313100000000005</v>
      </c>
      <c r="M113" s="29" t="s">
        <v>434</v>
      </c>
      <c r="P113" s="34">
        <f aca="true" t="shared" si="64" ref="P113:P120">IF(AG113="5",J113,0)</f>
        <v>0</v>
      </c>
      <c r="R113" s="34">
        <f aca="true" t="shared" si="65" ref="R113:R120">IF(AG113="1",H113,0)</f>
        <v>0</v>
      </c>
      <c r="S113" s="34">
        <f aca="true" t="shared" si="66" ref="S113:S120">IF(AG113="1",I113,0)</f>
        <v>0</v>
      </c>
      <c r="T113" s="34">
        <f aca="true" t="shared" si="67" ref="T113:T120">IF(AG113="7",H113,0)</f>
        <v>0</v>
      </c>
      <c r="U113" s="34">
        <f aca="true" t="shared" si="68" ref="U113:U120">IF(AG113="7",I113,0)</f>
        <v>0</v>
      </c>
      <c r="V113" s="34">
        <f aca="true" t="shared" si="69" ref="V113:V120">IF(AG113="2",H113,0)</f>
        <v>0</v>
      </c>
      <c r="W113" s="34">
        <f aca="true" t="shared" si="70" ref="W113:W120">IF(AG113="2",I113,0)</f>
        <v>0</v>
      </c>
      <c r="X113" s="34">
        <f aca="true" t="shared" si="71" ref="X113:X120">IF(AG113="0",J113,0)</f>
        <v>0</v>
      </c>
      <c r="Y113" s="26"/>
      <c r="Z113" s="17">
        <f aca="true" t="shared" si="72" ref="Z113:Z120">IF(AD113=0,J113,0)</f>
        <v>0</v>
      </c>
      <c r="AA113" s="17">
        <f aca="true" t="shared" si="73" ref="AA113:AA120">IF(AD113=15,J113,0)</f>
        <v>0</v>
      </c>
      <c r="AB113" s="17">
        <f aca="true" t="shared" si="74" ref="AB113:AB120">IF(AD113=21,J113,0)</f>
        <v>0</v>
      </c>
      <c r="AD113" s="34">
        <v>21</v>
      </c>
      <c r="AE113" s="34">
        <f>G113*0.313654855439272</f>
        <v>0</v>
      </c>
      <c r="AF113" s="34">
        <f>G113*(1-0.313654855439272)</f>
        <v>0</v>
      </c>
      <c r="AG113" s="29" t="s">
        <v>13</v>
      </c>
      <c r="AM113" s="34">
        <f aca="true" t="shared" si="75" ref="AM113:AM120">F113*AE113</f>
        <v>0</v>
      </c>
      <c r="AN113" s="34">
        <f aca="true" t="shared" si="76" ref="AN113:AN120">F113*AF113</f>
        <v>0</v>
      </c>
      <c r="AO113" s="35" t="s">
        <v>468</v>
      </c>
      <c r="AP113" s="35" t="s">
        <v>487</v>
      </c>
      <c r="AQ113" s="26" t="s">
        <v>491</v>
      </c>
      <c r="AS113" s="34">
        <f aca="true" t="shared" si="77" ref="AS113:AS120">AM113+AN113</f>
        <v>0</v>
      </c>
      <c r="AT113" s="34">
        <f aca="true" t="shared" si="78" ref="AT113:AT120">G113/(100-AU113)*100</f>
        <v>0</v>
      </c>
      <c r="AU113" s="34">
        <v>0</v>
      </c>
      <c r="AV113" s="34">
        <f aca="true" t="shared" si="79" ref="AV113:AV120">L113</f>
        <v>0.048313100000000005</v>
      </c>
    </row>
    <row r="114" spans="1:48" ht="12.75">
      <c r="A114" s="4" t="s">
        <v>84</v>
      </c>
      <c r="B114" s="4"/>
      <c r="C114" s="4" t="s">
        <v>210</v>
      </c>
      <c r="D114" s="4" t="s">
        <v>359</v>
      </c>
      <c r="E114" s="4" t="s">
        <v>413</v>
      </c>
      <c r="F114" s="17">
        <v>3.9</v>
      </c>
      <c r="G114" s="17">
        <v>0</v>
      </c>
      <c r="H114" s="17">
        <f t="shared" si="60"/>
        <v>0</v>
      </c>
      <c r="I114" s="17">
        <f t="shared" si="61"/>
        <v>0</v>
      </c>
      <c r="J114" s="17">
        <f t="shared" si="62"/>
        <v>0</v>
      </c>
      <c r="K114" s="17">
        <v>0.00231</v>
      </c>
      <c r="L114" s="17">
        <f t="shared" si="63"/>
        <v>0.009009</v>
      </c>
      <c r="M114" s="29" t="s">
        <v>434</v>
      </c>
      <c r="P114" s="34">
        <f t="shared" si="64"/>
        <v>0</v>
      </c>
      <c r="R114" s="34">
        <f t="shared" si="65"/>
        <v>0</v>
      </c>
      <c r="S114" s="34">
        <f t="shared" si="66"/>
        <v>0</v>
      </c>
      <c r="T114" s="34">
        <f t="shared" si="67"/>
        <v>0</v>
      </c>
      <c r="U114" s="34">
        <f t="shared" si="68"/>
        <v>0</v>
      </c>
      <c r="V114" s="34">
        <f t="shared" si="69"/>
        <v>0</v>
      </c>
      <c r="W114" s="34">
        <f t="shared" si="70"/>
        <v>0</v>
      </c>
      <c r="X114" s="34">
        <f t="shared" si="71"/>
        <v>0</v>
      </c>
      <c r="Y114" s="26"/>
      <c r="Z114" s="17">
        <f t="shared" si="72"/>
        <v>0</v>
      </c>
      <c r="AA114" s="17">
        <f t="shared" si="73"/>
        <v>0</v>
      </c>
      <c r="AB114" s="17">
        <f t="shared" si="74"/>
        <v>0</v>
      </c>
      <c r="AD114" s="34">
        <v>21</v>
      </c>
      <c r="AE114" s="34">
        <f>G114*0.315914790945744</f>
        <v>0</v>
      </c>
      <c r="AF114" s="34">
        <f>G114*(1-0.315914790945744)</f>
        <v>0</v>
      </c>
      <c r="AG114" s="29" t="s">
        <v>13</v>
      </c>
      <c r="AM114" s="34">
        <f t="shared" si="75"/>
        <v>0</v>
      </c>
      <c r="AN114" s="34">
        <f t="shared" si="76"/>
        <v>0</v>
      </c>
      <c r="AO114" s="35" t="s">
        <v>468</v>
      </c>
      <c r="AP114" s="35" t="s">
        <v>487</v>
      </c>
      <c r="AQ114" s="26" t="s">
        <v>491</v>
      </c>
      <c r="AS114" s="34">
        <f t="shared" si="77"/>
        <v>0</v>
      </c>
      <c r="AT114" s="34">
        <f t="shared" si="78"/>
        <v>0</v>
      </c>
      <c r="AU114" s="34">
        <v>0</v>
      </c>
      <c r="AV114" s="34">
        <f t="shared" si="79"/>
        <v>0.009009</v>
      </c>
    </row>
    <row r="115" spans="1:48" ht="12.75">
      <c r="A115" s="4" t="s">
        <v>85</v>
      </c>
      <c r="B115" s="4"/>
      <c r="C115" s="4" t="s">
        <v>211</v>
      </c>
      <c r="D115" s="4" t="s">
        <v>360</v>
      </c>
      <c r="E115" s="4" t="s">
        <v>416</v>
      </c>
      <c r="F115" s="17">
        <v>2</v>
      </c>
      <c r="G115" s="17">
        <v>0</v>
      </c>
      <c r="H115" s="17">
        <f t="shared" si="60"/>
        <v>0</v>
      </c>
      <c r="I115" s="17">
        <f t="shared" si="61"/>
        <v>0</v>
      </c>
      <c r="J115" s="17">
        <f t="shared" si="62"/>
        <v>0</v>
      </c>
      <c r="K115" s="17">
        <v>0.00061</v>
      </c>
      <c r="L115" s="17">
        <f t="shared" si="63"/>
        <v>0.00122</v>
      </c>
      <c r="M115" s="29" t="s">
        <v>434</v>
      </c>
      <c r="P115" s="34">
        <f t="shared" si="64"/>
        <v>0</v>
      </c>
      <c r="R115" s="34">
        <f t="shared" si="65"/>
        <v>0</v>
      </c>
      <c r="S115" s="34">
        <f t="shared" si="66"/>
        <v>0</v>
      </c>
      <c r="T115" s="34">
        <f t="shared" si="67"/>
        <v>0</v>
      </c>
      <c r="U115" s="34">
        <f t="shared" si="68"/>
        <v>0</v>
      </c>
      <c r="V115" s="34">
        <f t="shared" si="69"/>
        <v>0</v>
      </c>
      <c r="W115" s="34">
        <f t="shared" si="70"/>
        <v>0</v>
      </c>
      <c r="X115" s="34">
        <f t="shared" si="71"/>
        <v>0</v>
      </c>
      <c r="Y115" s="26"/>
      <c r="Z115" s="17">
        <f t="shared" si="72"/>
        <v>0</v>
      </c>
      <c r="AA115" s="17">
        <f t="shared" si="73"/>
        <v>0</v>
      </c>
      <c r="AB115" s="17">
        <f t="shared" si="74"/>
        <v>0</v>
      </c>
      <c r="AD115" s="34">
        <v>21</v>
      </c>
      <c r="AE115" s="34">
        <f>G115*0.162158273381295</f>
        <v>0</v>
      </c>
      <c r="AF115" s="34">
        <f>G115*(1-0.162158273381295)</f>
        <v>0</v>
      </c>
      <c r="AG115" s="29" t="s">
        <v>13</v>
      </c>
      <c r="AM115" s="34">
        <f t="shared" si="75"/>
        <v>0</v>
      </c>
      <c r="AN115" s="34">
        <f t="shared" si="76"/>
        <v>0</v>
      </c>
      <c r="AO115" s="35" t="s">
        <v>468</v>
      </c>
      <c r="AP115" s="35" t="s">
        <v>487</v>
      </c>
      <c r="AQ115" s="26" t="s">
        <v>491</v>
      </c>
      <c r="AS115" s="34">
        <f t="shared" si="77"/>
        <v>0</v>
      </c>
      <c r="AT115" s="34">
        <f t="shared" si="78"/>
        <v>0</v>
      </c>
      <c r="AU115" s="34">
        <v>0</v>
      </c>
      <c r="AV115" s="34">
        <f t="shared" si="79"/>
        <v>0.00122</v>
      </c>
    </row>
    <row r="116" spans="1:48" ht="12.75">
      <c r="A116" s="4" t="s">
        <v>86</v>
      </c>
      <c r="B116" s="4"/>
      <c r="C116" s="4" t="s">
        <v>212</v>
      </c>
      <c r="D116" s="4" t="s">
        <v>361</v>
      </c>
      <c r="E116" s="4" t="s">
        <v>413</v>
      </c>
      <c r="F116" s="17">
        <v>10</v>
      </c>
      <c r="G116" s="17">
        <v>0</v>
      </c>
      <c r="H116" s="17">
        <f t="shared" si="60"/>
        <v>0</v>
      </c>
      <c r="I116" s="17">
        <f t="shared" si="61"/>
        <v>0</v>
      </c>
      <c r="J116" s="17">
        <f t="shared" si="62"/>
        <v>0</v>
      </c>
      <c r="K116" s="17">
        <v>0.00111</v>
      </c>
      <c r="L116" s="17">
        <f t="shared" si="63"/>
        <v>0.0111</v>
      </c>
      <c r="M116" s="29" t="s">
        <v>434</v>
      </c>
      <c r="P116" s="34">
        <f t="shared" si="64"/>
        <v>0</v>
      </c>
      <c r="R116" s="34">
        <f t="shared" si="65"/>
        <v>0</v>
      </c>
      <c r="S116" s="34">
        <f t="shared" si="66"/>
        <v>0</v>
      </c>
      <c r="T116" s="34">
        <f t="shared" si="67"/>
        <v>0</v>
      </c>
      <c r="U116" s="34">
        <f t="shared" si="68"/>
        <v>0</v>
      </c>
      <c r="V116" s="34">
        <f t="shared" si="69"/>
        <v>0</v>
      </c>
      <c r="W116" s="34">
        <f t="shared" si="70"/>
        <v>0</v>
      </c>
      <c r="X116" s="34">
        <f t="shared" si="71"/>
        <v>0</v>
      </c>
      <c r="Y116" s="26"/>
      <c r="Z116" s="17">
        <f t="shared" si="72"/>
        <v>0</v>
      </c>
      <c r="AA116" s="17">
        <f t="shared" si="73"/>
        <v>0</v>
      </c>
      <c r="AB116" s="17">
        <f t="shared" si="74"/>
        <v>0</v>
      </c>
      <c r="AD116" s="34">
        <v>21</v>
      </c>
      <c r="AE116" s="34">
        <f>G116*0.325298329355609</f>
        <v>0</v>
      </c>
      <c r="AF116" s="34">
        <f>G116*(1-0.325298329355609)</f>
        <v>0</v>
      </c>
      <c r="AG116" s="29" t="s">
        <v>13</v>
      </c>
      <c r="AM116" s="34">
        <f t="shared" si="75"/>
        <v>0</v>
      </c>
      <c r="AN116" s="34">
        <f t="shared" si="76"/>
        <v>0</v>
      </c>
      <c r="AO116" s="35" t="s">
        <v>468</v>
      </c>
      <c r="AP116" s="35" t="s">
        <v>487</v>
      </c>
      <c r="AQ116" s="26" t="s">
        <v>491</v>
      </c>
      <c r="AS116" s="34">
        <f t="shared" si="77"/>
        <v>0</v>
      </c>
      <c r="AT116" s="34">
        <f t="shared" si="78"/>
        <v>0</v>
      </c>
      <c r="AU116" s="34">
        <v>0</v>
      </c>
      <c r="AV116" s="34">
        <f t="shared" si="79"/>
        <v>0.0111</v>
      </c>
    </row>
    <row r="117" spans="1:48" ht="12.75">
      <c r="A117" s="4" t="s">
        <v>87</v>
      </c>
      <c r="B117" s="4"/>
      <c r="C117" s="4" t="s">
        <v>213</v>
      </c>
      <c r="D117" s="4" t="s">
        <v>362</v>
      </c>
      <c r="E117" s="4" t="s">
        <v>413</v>
      </c>
      <c r="F117" s="17">
        <v>2.4</v>
      </c>
      <c r="G117" s="17">
        <v>0</v>
      </c>
      <c r="H117" s="17">
        <f t="shared" si="60"/>
        <v>0</v>
      </c>
      <c r="I117" s="17">
        <f t="shared" si="61"/>
        <v>0</v>
      </c>
      <c r="J117" s="17">
        <f t="shared" si="62"/>
        <v>0</v>
      </c>
      <c r="K117" s="17">
        <v>0.00224</v>
      </c>
      <c r="L117" s="17">
        <f t="shared" si="63"/>
        <v>0.005376</v>
      </c>
      <c r="M117" s="29" t="s">
        <v>434</v>
      </c>
      <c r="P117" s="34">
        <f t="shared" si="64"/>
        <v>0</v>
      </c>
      <c r="R117" s="34">
        <f t="shared" si="65"/>
        <v>0</v>
      </c>
      <c r="S117" s="34">
        <f t="shared" si="66"/>
        <v>0</v>
      </c>
      <c r="T117" s="34">
        <f t="shared" si="67"/>
        <v>0</v>
      </c>
      <c r="U117" s="34">
        <f t="shared" si="68"/>
        <v>0</v>
      </c>
      <c r="V117" s="34">
        <f t="shared" si="69"/>
        <v>0</v>
      </c>
      <c r="W117" s="34">
        <f t="shared" si="70"/>
        <v>0</v>
      </c>
      <c r="X117" s="34">
        <f t="shared" si="71"/>
        <v>0</v>
      </c>
      <c r="Y117" s="26"/>
      <c r="Z117" s="17">
        <f t="shared" si="72"/>
        <v>0</v>
      </c>
      <c r="AA117" s="17">
        <f t="shared" si="73"/>
        <v>0</v>
      </c>
      <c r="AB117" s="17">
        <f t="shared" si="74"/>
        <v>0</v>
      </c>
      <c r="AD117" s="34">
        <v>21</v>
      </c>
      <c r="AE117" s="34">
        <f>G117*0.228967468175389</f>
        <v>0</v>
      </c>
      <c r="AF117" s="34">
        <f>G117*(1-0.228967468175389)</f>
        <v>0</v>
      </c>
      <c r="AG117" s="29" t="s">
        <v>13</v>
      </c>
      <c r="AM117" s="34">
        <f t="shared" si="75"/>
        <v>0</v>
      </c>
      <c r="AN117" s="34">
        <f t="shared" si="76"/>
        <v>0</v>
      </c>
      <c r="AO117" s="35" t="s">
        <v>468</v>
      </c>
      <c r="AP117" s="35" t="s">
        <v>487</v>
      </c>
      <c r="AQ117" s="26" t="s">
        <v>491</v>
      </c>
      <c r="AS117" s="34">
        <f t="shared" si="77"/>
        <v>0</v>
      </c>
      <c r="AT117" s="34">
        <f t="shared" si="78"/>
        <v>0</v>
      </c>
      <c r="AU117" s="34">
        <v>0</v>
      </c>
      <c r="AV117" s="34">
        <f t="shared" si="79"/>
        <v>0.005376</v>
      </c>
    </row>
    <row r="118" spans="1:48" ht="12.75">
      <c r="A118" s="4" t="s">
        <v>88</v>
      </c>
      <c r="B118" s="4"/>
      <c r="C118" s="4" t="s">
        <v>214</v>
      </c>
      <c r="D118" s="4" t="s">
        <v>363</v>
      </c>
      <c r="E118" s="4" t="s">
        <v>413</v>
      </c>
      <c r="F118" s="17">
        <v>18.37</v>
      </c>
      <c r="G118" s="17">
        <v>0</v>
      </c>
      <c r="H118" s="17">
        <f t="shared" si="60"/>
        <v>0</v>
      </c>
      <c r="I118" s="17">
        <f t="shared" si="61"/>
        <v>0</v>
      </c>
      <c r="J118" s="17">
        <f t="shared" si="62"/>
        <v>0</v>
      </c>
      <c r="K118" s="17">
        <v>0.00225</v>
      </c>
      <c r="L118" s="17">
        <f t="shared" si="63"/>
        <v>0.0413325</v>
      </c>
      <c r="M118" s="29" t="s">
        <v>434</v>
      </c>
      <c r="P118" s="34">
        <f t="shared" si="64"/>
        <v>0</v>
      </c>
      <c r="R118" s="34">
        <f t="shared" si="65"/>
        <v>0</v>
      </c>
      <c r="S118" s="34">
        <f t="shared" si="66"/>
        <v>0</v>
      </c>
      <c r="T118" s="34">
        <f t="shared" si="67"/>
        <v>0</v>
      </c>
      <c r="U118" s="34">
        <f t="shared" si="68"/>
        <v>0</v>
      </c>
      <c r="V118" s="34">
        <f t="shared" si="69"/>
        <v>0</v>
      </c>
      <c r="W118" s="34">
        <f t="shared" si="70"/>
        <v>0</v>
      </c>
      <c r="X118" s="34">
        <f t="shared" si="71"/>
        <v>0</v>
      </c>
      <c r="Y118" s="26"/>
      <c r="Z118" s="17">
        <f t="shared" si="72"/>
        <v>0</v>
      </c>
      <c r="AA118" s="17">
        <f t="shared" si="73"/>
        <v>0</v>
      </c>
      <c r="AB118" s="17">
        <f t="shared" si="74"/>
        <v>0</v>
      </c>
      <c r="AD118" s="34">
        <v>21</v>
      </c>
      <c r="AE118" s="34">
        <f>G118*0.714233468193559</f>
        <v>0</v>
      </c>
      <c r="AF118" s="34">
        <f>G118*(1-0.714233468193559)</f>
        <v>0</v>
      </c>
      <c r="AG118" s="29" t="s">
        <v>13</v>
      </c>
      <c r="AM118" s="34">
        <f t="shared" si="75"/>
        <v>0</v>
      </c>
      <c r="AN118" s="34">
        <f t="shared" si="76"/>
        <v>0</v>
      </c>
      <c r="AO118" s="35" t="s">
        <v>468</v>
      </c>
      <c r="AP118" s="35" t="s">
        <v>487</v>
      </c>
      <c r="AQ118" s="26" t="s">
        <v>491</v>
      </c>
      <c r="AS118" s="34">
        <f t="shared" si="77"/>
        <v>0</v>
      </c>
      <c r="AT118" s="34">
        <f t="shared" si="78"/>
        <v>0</v>
      </c>
      <c r="AU118" s="34">
        <v>0</v>
      </c>
      <c r="AV118" s="34">
        <f t="shared" si="79"/>
        <v>0.0413325</v>
      </c>
    </row>
    <row r="119" spans="1:48" ht="12.75">
      <c r="A119" s="4" t="s">
        <v>89</v>
      </c>
      <c r="B119" s="4"/>
      <c r="C119" s="4" t="s">
        <v>215</v>
      </c>
      <c r="D119" s="4" t="s">
        <v>364</v>
      </c>
      <c r="E119" s="4" t="s">
        <v>413</v>
      </c>
      <c r="F119" s="17">
        <v>6.6</v>
      </c>
      <c r="G119" s="17">
        <v>0</v>
      </c>
      <c r="H119" s="17">
        <f t="shared" si="60"/>
        <v>0</v>
      </c>
      <c r="I119" s="17">
        <f t="shared" si="61"/>
        <v>0</v>
      </c>
      <c r="J119" s="17">
        <f t="shared" si="62"/>
        <v>0</v>
      </c>
      <c r="K119" s="17">
        <v>0.00312</v>
      </c>
      <c r="L119" s="17">
        <f t="shared" si="63"/>
        <v>0.020592</v>
      </c>
      <c r="M119" s="29" t="s">
        <v>434</v>
      </c>
      <c r="P119" s="34">
        <f t="shared" si="64"/>
        <v>0</v>
      </c>
      <c r="R119" s="34">
        <f t="shared" si="65"/>
        <v>0</v>
      </c>
      <c r="S119" s="34">
        <f t="shared" si="66"/>
        <v>0</v>
      </c>
      <c r="T119" s="34">
        <f t="shared" si="67"/>
        <v>0</v>
      </c>
      <c r="U119" s="34">
        <f t="shared" si="68"/>
        <v>0</v>
      </c>
      <c r="V119" s="34">
        <f t="shared" si="69"/>
        <v>0</v>
      </c>
      <c r="W119" s="34">
        <f t="shared" si="70"/>
        <v>0</v>
      </c>
      <c r="X119" s="34">
        <f t="shared" si="71"/>
        <v>0</v>
      </c>
      <c r="Y119" s="26"/>
      <c r="Z119" s="17">
        <f t="shared" si="72"/>
        <v>0</v>
      </c>
      <c r="AA119" s="17">
        <f t="shared" si="73"/>
        <v>0</v>
      </c>
      <c r="AB119" s="17">
        <f t="shared" si="74"/>
        <v>0</v>
      </c>
      <c r="AD119" s="34">
        <v>21</v>
      </c>
      <c r="AE119" s="34">
        <f>G119*0.826669528971896</f>
        <v>0</v>
      </c>
      <c r="AF119" s="34">
        <f>G119*(1-0.826669528971896)</f>
        <v>0</v>
      </c>
      <c r="AG119" s="29" t="s">
        <v>13</v>
      </c>
      <c r="AM119" s="34">
        <f t="shared" si="75"/>
        <v>0</v>
      </c>
      <c r="AN119" s="34">
        <f t="shared" si="76"/>
        <v>0</v>
      </c>
      <c r="AO119" s="35" t="s">
        <v>468</v>
      </c>
      <c r="AP119" s="35" t="s">
        <v>487</v>
      </c>
      <c r="AQ119" s="26" t="s">
        <v>491</v>
      </c>
      <c r="AS119" s="34">
        <f t="shared" si="77"/>
        <v>0</v>
      </c>
      <c r="AT119" s="34">
        <f t="shared" si="78"/>
        <v>0</v>
      </c>
      <c r="AU119" s="34">
        <v>0</v>
      </c>
      <c r="AV119" s="34">
        <f t="shared" si="79"/>
        <v>0.020592</v>
      </c>
    </row>
    <row r="120" spans="1:48" ht="12.75">
      <c r="A120" s="4" t="s">
        <v>90</v>
      </c>
      <c r="B120" s="4"/>
      <c r="C120" s="4" t="s">
        <v>216</v>
      </c>
      <c r="D120" s="4" t="s">
        <v>365</v>
      </c>
      <c r="E120" s="4" t="s">
        <v>415</v>
      </c>
      <c r="F120" s="17">
        <v>0.13694</v>
      </c>
      <c r="G120" s="17">
        <v>0</v>
      </c>
      <c r="H120" s="17">
        <f t="shared" si="60"/>
        <v>0</v>
      </c>
      <c r="I120" s="17">
        <f t="shared" si="61"/>
        <v>0</v>
      </c>
      <c r="J120" s="17">
        <f t="shared" si="62"/>
        <v>0</v>
      </c>
      <c r="K120" s="17">
        <v>0</v>
      </c>
      <c r="L120" s="17">
        <f t="shared" si="63"/>
        <v>0</v>
      </c>
      <c r="M120" s="29" t="s">
        <v>434</v>
      </c>
      <c r="P120" s="34">
        <f t="shared" si="64"/>
        <v>0</v>
      </c>
      <c r="R120" s="34">
        <f t="shared" si="65"/>
        <v>0</v>
      </c>
      <c r="S120" s="34">
        <f t="shared" si="66"/>
        <v>0</v>
      </c>
      <c r="T120" s="34">
        <f t="shared" si="67"/>
        <v>0</v>
      </c>
      <c r="U120" s="34">
        <f t="shared" si="68"/>
        <v>0</v>
      </c>
      <c r="V120" s="34">
        <f t="shared" si="69"/>
        <v>0</v>
      </c>
      <c r="W120" s="34">
        <f t="shared" si="70"/>
        <v>0</v>
      </c>
      <c r="X120" s="34">
        <f t="shared" si="71"/>
        <v>0</v>
      </c>
      <c r="Y120" s="26"/>
      <c r="Z120" s="17">
        <f t="shared" si="72"/>
        <v>0</v>
      </c>
      <c r="AA120" s="17">
        <f t="shared" si="73"/>
        <v>0</v>
      </c>
      <c r="AB120" s="17">
        <f t="shared" si="74"/>
        <v>0</v>
      </c>
      <c r="AD120" s="34">
        <v>21</v>
      </c>
      <c r="AE120" s="34">
        <f>G120*0</f>
        <v>0</v>
      </c>
      <c r="AF120" s="34">
        <f>G120*(1-0)</f>
        <v>0</v>
      </c>
      <c r="AG120" s="29" t="s">
        <v>11</v>
      </c>
      <c r="AM120" s="34">
        <f t="shared" si="75"/>
        <v>0</v>
      </c>
      <c r="AN120" s="34">
        <f t="shared" si="76"/>
        <v>0</v>
      </c>
      <c r="AO120" s="35" t="s">
        <v>468</v>
      </c>
      <c r="AP120" s="35" t="s">
        <v>487</v>
      </c>
      <c r="AQ120" s="26" t="s">
        <v>491</v>
      </c>
      <c r="AS120" s="34">
        <f t="shared" si="77"/>
        <v>0</v>
      </c>
      <c r="AT120" s="34">
        <f t="shared" si="78"/>
        <v>0</v>
      </c>
      <c r="AU120" s="34">
        <v>0</v>
      </c>
      <c r="AV120" s="34">
        <f t="shared" si="79"/>
        <v>0</v>
      </c>
    </row>
    <row r="121" spans="1:37" ht="12.75">
      <c r="A121" s="5"/>
      <c r="B121" s="13"/>
      <c r="C121" s="13" t="s">
        <v>217</v>
      </c>
      <c r="D121" s="92" t="s">
        <v>366</v>
      </c>
      <c r="E121" s="93"/>
      <c r="F121" s="93"/>
      <c r="G121" s="93"/>
      <c r="H121" s="37">
        <f>SUM(H122:H122)</f>
        <v>0</v>
      </c>
      <c r="I121" s="37">
        <f>SUM(I122:I122)</f>
        <v>0</v>
      </c>
      <c r="J121" s="37">
        <f>H121+I121</f>
        <v>0</v>
      </c>
      <c r="K121" s="26"/>
      <c r="L121" s="37">
        <f>SUM(L122:L122)</f>
        <v>3.953262</v>
      </c>
      <c r="M121" s="26"/>
      <c r="Y121" s="26"/>
      <c r="AI121" s="37">
        <f>SUM(Z122:Z122)</f>
        <v>0</v>
      </c>
      <c r="AJ121" s="37">
        <f>SUM(AA122:AA122)</f>
        <v>0</v>
      </c>
      <c r="AK121" s="37">
        <f>SUM(AB122:AB122)</f>
        <v>0</v>
      </c>
    </row>
    <row r="122" spans="1:48" ht="12.75">
      <c r="A122" s="4" t="s">
        <v>91</v>
      </c>
      <c r="B122" s="4"/>
      <c r="C122" s="4" t="s">
        <v>218</v>
      </c>
      <c r="D122" s="4" t="s">
        <v>367</v>
      </c>
      <c r="E122" s="4" t="s">
        <v>414</v>
      </c>
      <c r="F122" s="17">
        <v>78.36</v>
      </c>
      <c r="G122" s="17">
        <v>0</v>
      </c>
      <c r="H122" s="17">
        <f>F122*AE122</f>
        <v>0</v>
      </c>
      <c r="I122" s="17">
        <f>J122-H122</f>
        <v>0</v>
      </c>
      <c r="J122" s="17">
        <f>F122*G122</f>
        <v>0</v>
      </c>
      <c r="K122" s="17">
        <v>0.05045</v>
      </c>
      <c r="L122" s="17">
        <f>F122*K122</f>
        <v>3.953262</v>
      </c>
      <c r="M122" s="29" t="s">
        <v>434</v>
      </c>
      <c r="P122" s="34">
        <f>IF(AG122="5",J122,0)</f>
        <v>0</v>
      </c>
      <c r="R122" s="34">
        <f>IF(AG122="1",H122,0)</f>
        <v>0</v>
      </c>
      <c r="S122" s="34">
        <f>IF(AG122="1",I122,0)</f>
        <v>0</v>
      </c>
      <c r="T122" s="34">
        <f>IF(AG122="7",H122,0)</f>
        <v>0</v>
      </c>
      <c r="U122" s="34">
        <f>IF(AG122="7",I122,0)</f>
        <v>0</v>
      </c>
      <c r="V122" s="34">
        <f>IF(AG122="2",H122,0)</f>
        <v>0</v>
      </c>
      <c r="W122" s="34">
        <f>IF(AG122="2",I122,0)</f>
        <v>0</v>
      </c>
      <c r="X122" s="34">
        <f>IF(AG122="0",J122,0)</f>
        <v>0</v>
      </c>
      <c r="Y122" s="26"/>
      <c r="Z122" s="17">
        <f>IF(AD122=0,J122,0)</f>
        <v>0</v>
      </c>
      <c r="AA122" s="17">
        <f>IF(AD122=15,J122,0)</f>
        <v>0</v>
      </c>
      <c r="AB122" s="17">
        <f>IF(AD122=21,J122,0)</f>
        <v>0</v>
      </c>
      <c r="AD122" s="34">
        <v>21</v>
      </c>
      <c r="AE122" s="34">
        <f>G122*0</f>
        <v>0</v>
      </c>
      <c r="AF122" s="34">
        <f>G122*(1-0)</f>
        <v>0</v>
      </c>
      <c r="AG122" s="29" t="s">
        <v>13</v>
      </c>
      <c r="AM122" s="34">
        <f>F122*AE122</f>
        <v>0</v>
      </c>
      <c r="AN122" s="34">
        <f>F122*AF122</f>
        <v>0</v>
      </c>
      <c r="AO122" s="35" t="s">
        <v>469</v>
      </c>
      <c r="AP122" s="35" t="s">
        <v>487</v>
      </c>
      <c r="AQ122" s="26" t="s">
        <v>491</v>
      </c>
      <c r="AS122" s="34">
        <f>AM122+AN122</f>
        <v>0</v>
      </c>
      <c r="AT122" s="34">
        <f>G122/(100-AU122)*100</f>
        <v>0</v>
      </c>
      <c r="AU122" s="34">
        <v>0</v>
      </c>
      <c r="AV122" s="34">
        <f>L122</f>
        <v>3.953262</v>
      </c>
    </row>
    <row r="123" spans="1:37" ht="12.75">
      <c r="A123" s="5"/>
      <c r="B123" s="13"/>
      <c r="C123" s="13" t="s">
        <v>219</v>
      </c>
      <c r="D123" s="92" t="s">
        <v>368</v>
      </c>
      <c r="E123" s="93"/>
      <c r="F123" s="93"/>
      <c r="G123" s="93"/>
      <c r="H123" s="37">
        <f>SUM(H124:H128)</f>
        <v>0</v>
      </c>
      <c r="I123" s="37">
        <f>SUM(I124:I128)</f>
        <v>0</v>
      </c>
      <c r="J123" s="37">
        <f>H123+I123</f>
        <v>0</v>
      </c>
      <c r="K123" s="26"/>
      <c r="L123" s="37">
        <f>SUM(L124:L128)</f>
        <v>0.005988</v>
      </c>
      <c r="M123" s="26"/>
      <c r="Y123" s="26"/>
      <c r="AI123" s="37">
        <f>SUM(Z124:Z128)</f>
        <v>0</v>
      </c>
      <c r="AJ123" s="37">
        <f>SUM(AA124:AA128)</f>
        <v>0</v>
      </c>
      <c r="AK123" s="37">
        <f>SUM(AB124:AB128)</f>
        <v>0</v>
      </c>
    </row>
    <row r="124" spans="1:48" ht="12.75">
      <c r="A124" s="4" t="s">
        <v>92</v>
      </c>
      <c r="B124" s="4"/>
      <c r="C124" s="4" t="s">
        <v>220</v>
      </c>
      <c r="D124" s="4" t="s">
        <v>369</v>
      </c>
      <c r="E124" s="4" t="s">
        <v>416</v>
      </c>
      <c r="F124" s="17">
        <v>3</v>
      </c>
      <c r="G124" s="17">
        <v>0</v>
      </c>
      <c r="H124" s="17">
        <f>F124*AE124</f>
        <v>0</v>
      </c>
      <c r="I124" s="17">
        <f>J124-H124</f>
        <v>0</v>
      </c>
      <c r="J124" s="17">
        <f>F124*G124</f>
        <v>0</v>
      </c>
      <c r="K124" s="17">
        <v>0.0009</v>
      </c>
      <c r="L124" s="17">
        <f>F124*K124</f>
        <v>0.0027</v>
      </c>
      <c r="M124" s="29" t="s">
        <v>434</v>
      </c>
      <c r="P124" s="34">
        <f>IF(AG124="5",J124,0)</f>
        <v>0</v>
      </c>
      <c r="R124" s="34">
        <f>IF(AG124="1",H124,0)</f>
        <v>0</v>
      </c>
      <c r="S124" s="34">
        <f>IF(AG124="1",I124,0)</f>
        <v>0</v>
      </c>
      <c r="T124" s="34">
        <f>IF(AG124="7",H124,0)</f>
        <v>0</v>
      </c>
      <c r="U124" s="34">
        <f>IF(AG124="7",I124,0)</f>
        <v>0</v>
      </c>
      <c r="V124" s="34">
        <f>IF(AG124="2",H124,0)</f>
        <v>0</v>
      </c>
      <c r="W124" s="34">
        <f>IF(AG124="2",I124,0)</f>
        <v>0</v>
      </c>
      <c r="X124" s="34">
        <f>IF(AG124="0",J124,0)</f>
        <v>0</v>
      </c>
      <c r="Y124" s="26"/>
      <c r="Z124" s="17">
        <f>IF(AD124=0,J124,0)</f>
        <v>0</v>
      </c>
      <c r="AA124" s="17">
        <f>IF(AD124=15,J124,0)</f>
        <v>0</v>
      </c>
      <c r="AB124" s="17">
        <f>IF(AD124=21,J124,0)</f>
        <v>0</v>
      </c>
      <c r="AD124" s="34">
        <v>21</v>
      </c>
      <c r="AE124" s="34">
        <f>G124*0.116371359223301</f>
        <v>0</v>
      </c>
      <c r="AF124" s="34">
        <f>G124*(1-0.116371359223301)</f>
        <v>0</v>
      </c>
      <c r="AG124" s="29" t="s">
        <v>13</v>
      </c>
      <c r="AM124" s="34">
        <f>F124*AE124</f>
        <v>0</v>
      </c>
      <c r="AN124" s="34">
        <f>F124*AF124</f>
        <v>0</v>
      </c>
      <c r="AO124" s="35" t="s">
        <v>470</v>
      </c>
      <c r="AP124" s="35" t="s">
        <v>487</v>
      </c>
      <c r="AQ124" s="26" t="s">
        <v>491</v>
      </c>
      <c r="AS124" s="34">
        <f>AM124+AN124</f>
        <v>0</v>
      </c>
      <c r="AT124" s="34">
        <f>G124/(100-AU124)*100</f>
        <v>0</v>
      </c>
      <c r="AU124" s="34">
        <v>0</v>
      </c>
      <c r="AV124" s="34">
        <f>L124</f>
        <v>0.0027</v>
      </c>
    </row>
    <row r="125" spans="1:48" ht="12.75">
      <c r="A125" s="4" t="s">
        <v>93</v>
      </c>
      <c r="B125" s="4"/>
      <c r="C125" s="4" t="s">
        <v>221</v>
      </c>
      <c r="D125" s="4" t="s">
        <v>370</v>
      </c>
      <c r="E125" s="4" t="s">
        <v>416</v>
      </c>
      <c r="F125" s="17">
        <v>3</v>
      </c>
      <c r="G125" s="17">
        <v>0</v>
      </c>
      <c r="H125" s="17">
        <f>F125*AE125</f>
        <v>0</v>
      </c>
      <c r="I125" s="17">
        <f>J125-H125</f>
        <v>0</v>
      </c>
      <c r="J125" s="17">
        <f>F125*G125</f>
        <v>0</v>
      </c>
      <c r="K125" s="17">
        <v>0</v>
      </c>
      <c r="L125" s="17">
        <f>F125*K125</f>
        <v>0</v>
      </c>
      <c r="M125" s="29" t="s">
        <v>434</v>
      </c>
      <c r="P125" s="34">
        <f>IF(AG125="5",J125,0)</f>
        <v>0</v>
      </c>
      <c r="R125" s="34">
        <f>IF(AG125="1",H125,0)</f>
        <v>0</v>
      </c>
      <c r="S125" s="34">
        <f>IF(AG125="1",I125,0)</f>
        <v>0</v>
      </c>
      <c r="T125" s="34">
        <f>IF(AG125="7",H125,0)</f>
        <v>0</v>
      </c>
      <c r="U125" s="34">
        <f>IF(AG125="7",I125,0)</f>
        <v>0</v>
      </c>
      <c r="V125" s="34">
        <f>IF(AG125="2",H125,0)</f>
        <v>0</v>
      </c>
      <c r="W125" s="34">
        <f>IF(AG125="2",I125,0)</f>
        <v>0</v>
      </c>
      <c r="X125" s="34">
        <f>IF(AG125="0",J125,0)</f>
        <v>0</v>
      </c>
      <c r="Y125" s="26"/>
      <c r="Z125" s="17">
        <f>IF(AD125=0,J125,0)</f>
        <v>0</v>
      </c>
      <c r="AA125" s="17">
        <f>IF(AD125=15,J125,0)</f>
        <v>0</v>
      </c>
      <c r="AB125" s="17">
        <f>IF(AD125=21,J125,0)</f>
        <v>0</v>
      </c>
      <c r="AD125" s="34">
        <v>21</v>
      </c>
      <c r="AE125" s="34">
        <f>G125*0</f>
        <v>0</v>
      </c>
      <c r="AF125" s="34">
        <f>G125*(1-0)</f>
        <v>0</v>
      </c>
      <c r="AG125" s="29" t="s">
        <v>13</v>
      </c>
      <c r="AM125" s="34">
        <f>F125*AE125</f>
        <v>0</v>
      </c>
      <c r="AN125" s="34">
        <f>F125*AF125</f>
        <v>0</v>
      </c>
      <c r="AO125" s="35" t="s">
        <v>470</v>
      </c>
      <c r="AP125" s="35" t="s">
        <v>487</v>
      </c>
      <c r="AQ125" s="26" t="s">
        <v>491</v>
      </c>
      <c r="AS125" s="34">
        <f>AM125+AN125</f>
        <v>0</v>
      </c>
      <c r="AT125" s="34">
        <f>G125/(100-AU125)*100</f>
        <v>0</v>
      </c>
      <c r="AU125" s="34">
        <v>0</v>
      </c>
      <c r="AV125" s="34">
        <f>L125</f>
        <v>0</v>
      </c>
    </row>
    <row r="126" spans="1:48" ht="12.75">
      <c r="A126" s="4" t="s">
        <v>94</v>
      </c>
      <c r="B126" s="4"/>
      <c r="C126" s="4" t="s">
        <v>222</v>
      </c>
      <c r="D126" s="4" t="s">
        <v>371</v>
      </c>
      <c r="E126" s="4" t="s">
        <v>416</v>
      </c>
      <c r="F126" s="17">
        <v>3</v>
      </c>
      <c r="G126" s="17">
        <v>0</v>
      </c>
      <c r="H126" s="17">
        <f>F126*AE126</f>
        <v>0</v>
      </c>
      <c r="I126" s="17">
        <f>J126-H126</f>
        <v>0</v>
      </c>
      <c r="J126" s="17">
        <f>F126*G126</f>
        <v>0</v>
      </c>
      <c r="K126" s="17">
        <v>0</v>
      </c>
      <c r="L126" s="17">
        <f>F126*K126</f>
        <v>0</v>
      </c>
      <c r="M126" s="29" t="s">
        <v>434</v>
      </c>
      <c r="P126" s="34">
        <f>IF(AG126="5",J126,0)</f>
        <v>0</v>
      </c>
      <c r="R126" s="34">
        <f>IF(AG126="1",H126,0)</f>
        <v>0</v>
      </c>
      <c r="S126" s="34">
        <f>IF(AG126="1",I126,0)</f>
        <v>0</v>
      </c>
      <c r="T126" s="34">
        <f>IF(AG126="7",H126,0)</f>
        <v>0</v>
      </c>
      <c r="U126" s="34">
        <f>IF(AG126="7",I126,0)</f>
        <v>0</v>
      </c>
      <c r="V126" s="34">
        <f>IF(AG126="2",H126,0)</f>
        <v>0</v>
      </c>
      <c r="W126" s="34">
        <f>IF(AG126="2",I126,0)</f>
        <v>0</v>
      </c>
      <c r="X126" s="34">
        <f>IF(AG126="0",J126,0)</f>
        <v>0</v>
      </c>
      <c r="Y126" s="26"/>
      <c r="Z126" s="17">
        <f>IF(AD126=0,J126,0)</f>
        <v>0</v>
      </c>
      <c r="AA126" s="17">
        <f>IF(AD126=15,J126,0)</f>
        <v>0</v>
      </c>
      <c r="AB126" s="17">
        <f>IF(AD126=21,J126,0)</f>
        <v>0</v>
      </c>
      <c r="AD126" s="34">
        <v>21</v>
      </c>
      <c r="AE126" s="34">
        <f>G126*0</f>
        <v>0</v>
      </c>
      <c r="AF126" s="34">
        <f>G126*(1-0)</f>
        <v>0</v>
      </c>
      <c r="AG126" s="29" t="s">
        <v>13</v>
      </c>
      <c r="AM126" s="34">
        <f>F126*AE126</f>
        <v>0</v>
      </c>
      <c r="AN126" s="34">
        <f>F126*AF126</f>
        <v>0</v>
      </c>
      <c r="AO126" s="35" t="s">
        <v>470</v>
      </c>
      <c r="AP126" s="35" t="s">
        <v>487</v>
      </c>
      <c r="AQ126" s="26" t="s">
        <v>491</v>
      </c>
      <c r="AS126" s="34">
        <f>AM126+AN126</f>
        <v>0</v>
      </c>
      <c r="AT126" s="34">
        <f>G126/(100-AU126)*100</f>
        <v>0</v>
      </c>
      <c r="AU126" s="34">
        <v>0</v>
      </c>
      <c r="AV126" s="34">
        <f>L126</f>
        <v>0</v>
      </c>
    </row>
    <row r="127" spans="1:48" ht="12.75">
      <c r="A127" s="4" t="s">
        <v>95</v>
      </c>
      <c r="B127" s="4"/>
      <c r="C127" s="4" t="s">
        <v>223</v>
      </c>
      <c r="D127" s="4" t="s">
        <v>372</v>
      </c>
      <c r="E127" s="4" t="s">
        <v>413</v>
      </c>
      <c r="F127" s="17">
        <v>11.1</v>
      </c>
      <c r="G127" s="17">
        <v>0</v>
      </c>
      <c r="H127" s="17">
        <f>F127*AE127</f>
        <v>0</v>
      </c>
      <c r="I127" s="17">
        <f>J127-H127</f>
        <v>0</v>
      </c>
      <c r="J127" s="17">
        <f>F127*G127</f>
        <v>0</v>
      </c>
      <c r="K127" s="17">
        <v>8E-05</v>
      </c>
      <c r="L127" s="17">
        <f>F127*K127</f>
        <v>0.000888</v>
      </c>
      <c r="M127" s="29" t="s">
        <v>434</v>
      </c>
      <c r="P127" s="34">
        <f>IF(AG127="5",J127,0)</f>
        <v>0</v>
      </c>
      <c r="R127" s="34">
        <f>IF(AG127="1",H127,0)</f>
        <v>0</v>
      </c>
      <c r="S127" s="34">
        <f>IF(AG127="1",I127,0)</f>
        <v>0</v>
      </c>
      <c r="T127" s="34">
        <f>IF(AG127="7",H127,0)</f>
        <v>0</v>
      </c>
      <c r="U127" s="34">
        <f>IF(AG127="7",I127,0)</f>
        <v>0</v>
      </c>
      <c r="V127" s="34">
        <f>IF(AG127="2",H127,0)</f>
        <v>0</v>
      </c>
      <c r="W127" s="34">
        <f>IF(AG127="2",I127,0)</f>
        <v>0</v>
      </c>
      <c r="X127" s="34">
        <f>IF(AG127="0",J127,0)</f>
        <v>0</v>
      </c>
      <c r="Y127" s="26"/>
      <c r="Z127" s="17">
        <f>IF(AD127=0,J127,0)</f>
        <v>0</v>
      </c>
      <c r="AA127" s="17">
        <f>IF(AD127=15,J127,0)</f>
        <v>0</v>
      </c>
      <c r="AB127" s="17">
        <f>IF(AD127=21,J127,0)</f>
        <v>0</v>
      </c>
      <c r="AD127" s="34">
        <v>21</v>
      </c>
      <c r="AE127" s="34">
        <f>G127*0.0492424242424242</f>
        <v>0</v>
      </c>
      <c r="AF127" s="34">
        <f>G127*(1-0.0492424242424242)</f>
        <v>0</v>
      </c>
      <c r="AG127" s="29" t="s">
        <v>13</v>
      </c>
      <c r="AM127" s="34">
        <f>F127*AE127</f>
        <v>0</v>
      </c>
      <c r="AN127" s="34">
        <f>F127*AF127</f>
        <v>0</v>
      </c>
      <c r="AO127" s="35" t="s">
        <v>470</v>
      </c>
      <c r="AP127" s="35" t="s">
        <v>487</v>
      </c>
      <c r="AQ127" s="26" t="s">
        <v>491</v>
      </c>
      <c r="AS127" s="34">
        <f>AM127+AN127</f>
        <v>0</v>
      </c>
      <c r="AT127" s="34">
        <f>G127/(100-AU127)*100</f>
        <v>0</v>
      </c>
      <c r="AU127" s="34">
        <v>0</v>
      </c>
      <c r="AV127" s="34">
        <f>L127</f>
        <v>0.000888</v>
      </c>
    </row>
    <row r="128" spans="1:48" ht="12.75">
      <c r="A128" s="6" t="s">
        <v>96</v>
      </c>
      <c r="B128" s="6"/>
      <c r="C128" s="6" t="s">
        <v>224</v>
      </c>
      <c r="D128" s="6" t="s">
        <v>373</v>
      </c>
      <c r="E128" s="6" t="s">
        <v>416</v>
      </c>
      <c r="F128" s="18">
        <v>3</v>
      </c>
      <c r="G128" s="18">
        <v>0</v>
      </c>
      <c r="H128" s="18">
        <f>F128*AE128</f>
        <v>0</v>
      </c>
      <c r="I128" s="18">
        <f>J128-H128</f>
        <v>0</v>
      </c>
      <c r="J128" s="18">
        <f>F128*G128</f>
        <v>0</v>
      </c>
      <c r="K128" s="18">
        <v>0.0008</v>
      </c>
      <c r="L128" s="18">
        <f>F128*K128</f>
        <v>0.0024000000000000002</v>
      </c>
      <c r="M128" s="30" t="s">
        <v>434</v>
      </c>
      <c r="P128" s="34">
        <f>IF(AG128="5",J128,0)</f>
        <v>0</v>
      </c>
      <c r="R128" s="34">
        <f>IF(AG128="1",H128,0)</f>
        <v>0</v>
      </c>
      <c r="S128" s="34">
        <f>IF(AG128="1",I128,0)</f>
        <v>0</v>
      </c>
      <c r="T128" s="34">
        <f>IF(AG128="7",H128,0)</f>
        <v>0</v>
      </c>
      <c r="U128" s="34">
        <f>IF(AG128="7",I128,0)</f>
        <v>0</v>
      </c>
      <c r="V128" s="34">
        <f>IF(AG128="2",H128,0)</f>
        <v>0</v>
      </c>
      <c r="W128" s="34">
        <f>IF(AG128="2",I128,0)</f>
        <v>0</v>
      </c>
      <c r="X128" s="34">
        <f>IF(AG128="0",J128,0)</f>
        <v>0</v>
      </c>
      <c r="Y128" s="26"/>
      <c r="Z128" s="18">
        <f>IF(AD128=0,J128,0)</f>
        <v>0</v>
      </c>
      <c r="AA128" s="18">
        <f>IF(AD128=15,J128,0)</f>
        <v>0</v>
      </c>
      <c r="AB128" s="18">
        <f>IF(AD128=21,J128,0)</f>
        <v>0</v>
      </c>
      <c r="AD128" s="34">
        <v>21</v>
      </c>
      <c r="AE128" s="34">
        <f>G128*1</f>
        <v>0</v>
      </c>
      <c r="AF128" s="34">
        <f>G128*(1-1)</f>
        <v>0</v>
      </c>
      <c r="AG128" s="30" t="s">
        <v>13</v>
      </c>
      <c r="AM128" s="34">
        <f>F128*AE128</f>
        <v>0</v>
      </c>
      <c r="AN128" s="34">
        <f>F128*AF128</f>
        <v>0</v>
      </c>
      <c r="AO128" s="35" t="s">
        <v>470</v>
      </c>
      <c r="AP128" s="35" t="s">
        <v>487</v>
      </c>
      <c r="AQ128" s="26" t="s">
        <v>491</v>
      </c>
      <c r="AS128" s="34">
        <f>AM128+AN128</f>
        <v>0</v>
      </c>
      <c r="AT128" s="34">
        <f>G128/(100-AU128)*100</f>
        <v>0</v>
      </c>
      <c r="AU128" s="34">
        <v>0</v>
      </c>
      <c r="AV128" s="34">
        <f>L128</f>
        <v>0.0024000000000000002</v>
      </c>
    </row>
    <row r="129" spans="1:37" ht="12.75">
      <c r="A129" s="5"/>
      <c r="B129" s="13"/>
      <c r="C129" s="13" t="s">
        <v>225</v>
      </c>
      <c r="D129" s="92" t="s">
        <v>368</v>
      </c>
      <c r="E129" s="93"/>
      <c r="F129" s="93"/>
      <c r="G129" s="93"/>
      <c r="H129" s="37">
        <f>SUM(H130:H134)</f>
        <v>0</v>
      </c>
      <c r="I129" s="37">
        <f>SUM(I130:I134)</f>
        <v>0</v>
      </c>
      <c r="J129" s="37">
        <f>H129+I129</f>
        <v>0</v>
      </c>
      <c r="K129" s="26"/>
      <c r="L129" s="37">
        <f>SUM(L130:L134)</f>
        <v>0.281</v>
      </c>
      <c r="M129" s="26"/>
      <c r="Y129" s="26"/>
      <c r="AI129" s="37">
        <f>SUM(Z130:Z134)</f>
        <v>0</v>
      </c>
      <c r="AJ129" s="37">
        <f>SUM(AA130:AA134)</f>
        <v>0</v>
      </c>
      <c r="AK129" s="37">
        <f>SUM(AB130:AB134)</f>
        <v>0</v>
      </c>
    </row>
    <row r="130" spans="1:48" ht="12.75">
      <c r="A130" s="4" t="s">
        <v>97</v>
      </c>
      <c r="B130" s="4"/>
      <c r="C130" s="4" t="s">
        <v>226</v>
      </c>
      <c r="D130" s="4" t="s">
        <v>374</v>
      </c>
      <c r="E130" s="4" t="s">
        <v>418</v>
      </c>
      <c r="F130" s="17">
        <v>1</v>
      </c>
      <c r="G130" s="17">
        <v>0</v>
      </c>
      <c r="H130" s="17">
        <f>F130*AE130</f>
        <v>0</v>
      </c>
      <c r="I130" s="17">
        <f>J130-H130</f>
        <v>0</v>
      </c>
      <c r="J130" s="17">
        <f>F130*G130</f>
        <v>0</v>
      </c>
      <c r="K130" s="17">
        <v>0.1</v>
      </c>
      <c r="L130" s="17">
        <f>F130*K130</f>
        <v>0.1</v>
      </c>
      <c r="M130" s="29" t="s">
        <v>434</v>
      </c>
      <c r="P130" s="34">
        <f>IF(AG130="5",J130,0)</f>
        <v>0</v>
      </c>
      <c r="R130" s="34">
        <f>IF(AG130="1",H130,0)</f>
        <v>0</v>
      </c>
      <c r="S130" s="34">
        <f>IF(AG130="1",I130,0)</f>
        <v>0</v>
      </c>
      <c r="T130" s="34">
        <f>IF(AG130="7",H130,0)</f>
        <v>0</v>
      </c>
      <c r="U130" s="34">
        <f>IF(AG130="7",I130,0)</f>
        <v>0</v>
      </c>
      <c r="V130" s="34">
        <f>IF(AG130="2",H130,0)</f>
        <v>0</v>
      </c>
      <c r="W130" s="34">
        <f>IF(AG130="2",I130,0)</f>
        <v>0</v>
      </c>
      <c r="X130" s="34">
        <f>IF(AG130="0",J130,0)</f>
        <v>0</v>
      </c>
      <c r="Y130" s="26"/>
      <c r="Z130" s="17">
        <f>IF(AD130=0,J130,0)</f>
        <v>0</v>
      </c>
      <c r="AA130" s="17">
        <f>IF(AD130=15,J130,0)</f>
        <v>0</v>
      </c>
      <c r="AB130" s="17">
        <f>IF(AD130=21,J130,0)</f>
        <v>0</v>
      </c>
      <c r="AD130" s="34">
        <v>21</v>
      </c>
      <c r="AE130" s="34">
        <f>G130*0.322577777777778</f>
        <v>0</v>
      </c>
      <c r="AF130" s="34">
        <f>G130*(1-0.322577777777778)</f>
        <v>0</v>
      </c>
      <c r="AG130" s="29" t="s">
        <v>13</v>
      </c>
      <c r="AM130" s="34">
        <f>F130*AE130</f>
        <v>0</v>
      </c>
      <c r="AN130" s="34">
        <f>F130*AF130</f>
        <v>0</v>
      </c>
      <c r="AO130" s="35" t="s">
        <v>471</v>
      </c>
      <c r="AP130" s="35" t="s">
        <v>487</v>
      </c>
      <c r="AQ130" s="26" t="s">
        <v>491</v>
      </c>
      <c r="AS130" s="34">
        <f>AM130+AN130</f>
        <v>0</v>
      </c>
      <c r="AT130" s="34">
        <f>G130/(100-AU130)*100</f>
        <v>0</v>
      </c>
      <c r="AU130" s="34">
        <v>0</v>
      </c>
      <c r="AV130" s="34">
        <f>L130</f>
        <v>0.1</v>
      </c>
    </row>
    <row r="131" spans="1:48" ht="12.75">
      <c r="A131" s="4" t="s">
        <v>98</v>
      </c>
      <c r="B131" s="4"/>
      <c r="C131" s="4" t="s">
        <v>227</v>
      </c>
      <c r="D131" s="4" t="s">
        <v>375</v>
      </c>
      <c r="E131" s="4" t="s">
        <v>416</v>
      </c>
      <c r="F131" s="17">
        <v>1</v>
      </c>
      <c r="G131" s="17">
        <v>0</v>
      </c>
      <c r="H131" s="17">
        <f>F131*AE131</f>
        <v>0</v>
      </c>
      <c r="I131" s="17">
        <f>J131-H131</f>
        <v>0</v>
      </c>
      <c r="J131" s="17">
        <f>F131*G131</f>
        <v>0</v>
      </c>
      <c r="K131" s="17">
        <v>0.15</v>
      </c>
      <c r="L131" s="17">
        <f>F131*K131</f>
        <v>0.15</v>
      </c>
      <c r="M131" s="29" t="s">
        <v>434</v>
      </c>
      <c r="P131" s="34">
        <f>IF(AG131="5",J131,0)</f>
        <v>0</v>
      </c>
      <c r="R131" s="34">
        <f>IF(AG131="1",H131,0)</f>
        <v>0</v>
      </c>
      <c r="S131" s="34">
        <f>IF(AG131="1",I131,0)</f>
        <v>0</v>
      </c>
      <c r="T131" s="34">
        <f>IF(AG131="7",H131,0)</f>
        <v>0</v>
      </c>
      <c r="U131" s="34">
        <f>IF(AG131="7",I131,0)</f>
        <v>0</v>
      </c>
      <c r="V131" s="34">
        <f>IF(AG131="2",H131,0)</f>
        <v>0</v>
      </c>
      <c r="W131" s="34">
        <f>IF(AG131="2",I131,0)</f>
        <v>0</v>
      </c>
      <c r="X131" s="34">
        <f>IF(AG131="0",J131,0)</f>
        <v>0</v>
      </c>
      <c r="Y131" s="26"/>
      <c r="Z131" s="17">
        <f>IF(AD131=0,J131,0)</f>
        <v>0</v>
      </c>
      <c r="AA131" s="17">
        <f>IF(AD131=15,J131,0)</f>
        <v>0</v>
      </c>
      <c r="AB131" s="17">
        <f>IF(AD131=21,J131,0)</f>
        <v>0</v>
      </c>
      <c r="AD131" s="34">
        <v>21</v>
      </c>
      <c r="AE131" s="34">
        <f>G131*0.3703695</f>
        <v>0</v>
      </c>
      <c r="AF131" s="34">
        <f>G131*(1-0.3703695)</f>
        <v>0</v>
      </c>
      <c r="AG131" s="29" t="s">
        <v>13</v>
      </c>
      <c r="AM131" s="34">
        <f>F131*AE131</f>
        <v>0</v>
      </c>
      <c r="AN131" s="34">
        <f>F131*AF131</f>
        <v>0</v>
      </c>
      <c r="AO131" s="35" t="s">
        <v>471</v>
      </c>
      <c r="AP131" s="35" t="s">
        <v>487</v>
      </c>
      <c r="AQ131" s="26" t="s">
        <v>491</v>
      </c>
      <c r="AS131" s="34">
        <f>AM131+AN131</f>
        <v>0</v>
      </c>
      <c r="AT131" s="34">
        <f>G131/(100-AU131)*100</f>
        <v>0</v>
      </c>
      <c r="AU131" s="34">
        <v>0</v>
      </c>
      <c r="AV131" s="34">
        <f>L131</f>
        <v>0.15</v>
      </c>
    </row>
    <row r="132" spans="1:48" ht="12.75">
      <c r="A132" s="4" t="s">
        <v>99</v>
      </c>
      <c r="B132" s="4"/>
      <c r="C132" s="4" t="s">
        <v>228</v>
      </c>
      <c r="D132" s="4" t="s">
        <v>376</v>
      </c>
      <c r="E132" s="4" t="s">
        <v>416</v>
      </c>
      <c r="F132" s="17">
        <v>3</v>
      </c>
      <c r="G132" s="17">
        <v>0</v>
      </c>
      <c r="H132" s="17">
        <f>F132*AE132</f>
        <v>0</v>
      </c>
      <c r="I132" s="17">
        <f>J132-H132</f>
        <v>0</v>
      </c>
      <c r="J132" s="17">
        <f>F132*G132</f>
        <v>0</v>
      </c>
      <c r="K132" s="17">
        <v>0.01</v>
      </c>
      <c r="L132" s="17">
        <f>F132*K132</f>
        <v>0.03</v>
      </c>
      <c r="M132" s="29" t="s">
        <v>434</v>
      </c>
      <c r="P132" s="34">
        <f>IF(AG132="5",J132,0)</f>
        <v>0</v>
      </c>
      <c r="R132" s="34">
        <f>IF(AG132="1",H132,0)</f>
        <v>0</v>
      </c>
      <c r="S132" s="34">
        <f>IF(AG132="1",I132,0)</f>
        <v>0</v>
      </c>
      <c r="T132" s="34">
        <f>IF(AG132="7",H132,0)</f>
        <v>0</v>
      </c>
      <c r="U132" s="34">
        <f>IF(AG132="7",I132,0)</f>
        <v>0</v>
      </c>
      <c r="V132" s="34">
        <f>IF(AG132="2",H132,0)</f>
        <v>0</v>
      </c>
      <c r="W132" s="34">
        <f>IF(AG132="2",I132,0)</f>
        <v>0</v>
      </c>
      <c r="X132" s="34">
        <f>IF(AG132="0",J132,0)</f>
        <v>0</v>
      </c>
      <c r="Y132" s="26"/>
      <c r="Z132" s="17">
        <f>IF(AD132=0,J132,0)</f>
        <v>0</v>
      </c>
      <c r="AA132" s="17">
        <f>IF(AD132=15,J132,0)</f>
        <v>0</v>
      </c>
      <c r="AB132" s="17">
        <f>IF(AD132=21,J132,0)</f>
        <v>0</v>
      </c>
      <c r="AD132" s="34">
        <v>21</v>
      </c>
      <c r="AE132" s="34">
        <f>G132*1</f>
        <v>0</v>
      </c>
      <c r="AF132" s="34">
        <f>G132*(1-1)</f>
        <v>0</v>
      </c>
      <c r="AG132" s="29" t="s">
        <v>13</v>
      </c>
      <c r="AM132" s="34">
        <f>F132*AE132</f>
        <v>0</v>
      </c>
      <c r="AN132" s="34">
        <f>F132*AF132</f>
        <v>0</v>
      </c>
      <c r="AO132" s="35" t="s">
        <v>471</v>
      </c>
      <c r="AP132" s="35" t="s">
        <v>487</v>
      </c>
      <c r="AQ132" s="26" t="s">
        <v>491</v>
      </c>
      <c r="AS132" s="34">
        <f>AM132+AN132</f>
        <v>0</v>
      </c>
      <c r="AT132" s="34">
        <f>G132/(100-AU132)*100</f>
        <v>0</v>
      </c>
      <c r="AU132" s="34">
        <v>0</v>
      </c>
      <c r="AV132" s="34">
        <f>L132</f>
        <v>0.03</v>
      </c>
    </row>
    <row r="133" spans="1:48" ht="12.75">
      <c r="A133" s="4" t="s">
        <v>100</v>
      </c>
      <c r="B133" s="4"/>
      <c r="C133" s="4" t="s">
        <v>229</v>
      </c>
      <c r="D133" s="4" t="s">
        <v>377</v>
      </c>
      <c r="E133" s="4" t="s">
        <v>417</v>
      </c>
      <c r="F133" s="17">
        <v>1</v>
      </c>
      <c r="G133" s="17">
        <v>0</v>
      </c>
      <c r="H133" s="17">
        <f>F133*AE133</f>
        <v>0</v>
      </c>
      <c r="I133" s="17">
        <f>J133-H133</f>
        <v>0</v>
      </c>
      <c r="J133" s="17">
        <f>F133*G133</f>
        <v>0</v>
      </c>
      <c r="K133" s="17">
        <v>0.001</v>
      </c>
      <c r="L133" s="17">
        <f>F133*K133</f>
        <v>0.001</v>
      </c>
      <c r="M133" s="29" t="s">
        <v>434</v>
      </c>
      <c r="P133" s="34">
        <f>IF(AG133="5",J133,0)</f>
        <v>0</v>
      </c>
      <c r="R133" s="34">
        <f>IF(AG133="1",H133,0)</f>
        <v>0</v>
      </c>
      <c r="S133" s="34">
        <f>IF(AG133="1",I133,0)</f>
        <v>0</v>
      </c>
      <c r="T133" s="34">
        <f>IF(AG133="7",H133,0)</f>
        <v>0</v>
      </c>
      <c r="U133" s="34">
        <f>IF(AG133="7",I133,0)</f>
        <v>0</v>
      </c>
      <c r="V133" s="34">
        <f>IF(AG133="2",H133,0)</f>
        <v>0</v>
      </c>
      <c r="W133" s="34">
        <f>IF(AG133="2",I133,0)</f>
        <v>0</v>
      </c>
      <c r="X133" s="34">
        <f>IF(AG133="0",J133,0)</f>
        <v>0</v>
      </c>
      <c r="Y133" s="26"/>
      <c r="Z133" s="17">
        <f>IF(AD133=0,J133,0)</f>
        <v>0</v>
      </c>
      <c r="AA133" s="17">
        <f>IF(AD133=15,J133,0)</f>
        <v>0</v>
      </c>
      <c r="AB133" s="17">
        <f>IF(AD133=21,J133,0)</f>
        <v>0</v>
      </c>
      <c r="AD133" s="34">
        <v>21</v>
      </c>
      <c r="AE133" s="34">
        <f>G133*1</f>
        <v>0</v>
      </c>
      <c r="AF133" s="34">
        <f>G133*(1-1)</f>
        <v>0</v>
      </c>
      <c r="AG133" s="29" t="s">
        <v>13</v>
      </c>
      <c r="AM133" s="34">
        <f>F133*AE133</f>
        <v>0</v>
      </c>
      <c r="AN133" s="34">
        <f>F133*AF133</f>
        <v>0</v>
      </c>
      <c r="AO133" s="35" t="s">
        <v>471</v>
      </c>
      <c r="AP133" s="35" t="s">
        <v>487</v>
      </c>
      <c r="AQ133" s="26" t="s">
        <v>491</v>
      </c>
      <c r="AS133" s="34">
        <f>AM133+AN133</f>
        <v>0</v>
      </c>
      <c r="AT133" s="34">
        <f>G133/(100-AU133)*100</f>
        <v>0</v>
      </c>
      <c r="AU133" s="34">
        <v>0</v>
      </c>
      <c r="AV133" s="34">
        <f>L133</f>
        <v>0.001</v>
      </c>
    </row>
    <row r="134" spans="1:48" ht="12.75">
      <c r="A134" s="4" t="s">
        <v>101</v>
      </c>
      <c r="B134" s="4"/>
      <c r="C134" s="4" t="s">
        <v>230</v>
      </c>
      <c r="D134" s="4" t="s">
        <v>378</v>
      </c>
      <c r="E134" s="4" t="s">
        <v>415</v>
      </c>
      <c r="F134" s="17">
        <v>0.28699</v>
      </c>
      <c r="G134" s="17">
        <v>0</v>
      </c>
      <c r="H134" s="17">
        <f>F134*AE134</f>
        <v>0</v>
      </c>
      <c r="I134" s="17">
        <f>J134-H134</f>
        <v>0</v>
      </c>
      <c r="J134" s="17">
        <f>F134*G134</f>
        <v>0</v>
      </c>
      <c r="K134" s="17">
        <v>0</v>
      </c>
      <c r="L134" s="17">
        <f>F134*K134</f>
        <v>0</v>
      </c>
      <c r="M134" s="29" t="s">
        <v>434</v>
      </c>
      <c r="P134" s="34">
        <f>IF(AG134="5",J134,0)</f>
        <v>0</v>
      </c>
      <c r="R134" s="34">
        <f>IF(AG134="1",H134,0)</f>
        <v>0</v>
      </c>
      <c r="S134" s="34">
        <f>IF(AG134="1",I134,0)</f>
        <v>0</v>
      </c>
      <c r="T134" s="34">
        <f>IF(AG134="7",H134,0)</f>
        <v>0</v>
      </c>
      <c r="U134" s="34">
        <f>IF(AG134="7",I134,0)</f>
        <v>0</v>
      </c>
      <c r="V134" s="34">
        <f>IF(AG134="2",H134,0)</f>
        <v>0</v>
      </c>
      <c r="W134" s="34">
        <f>IF(AG134="2",I134,0)</f>
        <v>0</v>
      </c>
      <c r="X134" s="34">
        <f>IF(AG134="0",J134,0)</f>
        <v>0</v>
      </c>
      <c r="Y134" s="26"/>
      <c r="Z134" s="17">
        <f>IF(AD134=0,J134,0)</f>
        <v>0</v>
      </c>
      <c r="AA134" s="17">
        <f>IF(AD134=15,J134,0)</f>
        <v>0</v>
      </c>
      <c r="AB134" s="17">
        <f>IF(AD134=21,J134,0)</f>
        <v>0</v>
      </c>
      <c r="AD134" s="34">
        <v>21</v>
      </c>
      <c r="AE134" s="34">
        <f>G134*0</f>
        <v>0</v>
      </c>
      <c r="AF134" s="34">
        <f>G134*(1-0)</f>
        <v>0</v>
      </c>
      <c r="AG134" s="29" t="s">
        <v>11</v>
      </c>
      <c r="AM134" s="34">
        <f>F134*AE134</f>
        <v>0</v>
      </c>
      <c r="AN134" s="34">
        <f>F134*AF134</f>
        <v>0</v>
      </c>
      <c r="AO134" s="35" t="s">
        <v>471</v>
      </c>
      <c r="AP134" s="35" t="s">
        <v>487</v>
      </c>
      <c r="AQ134" s="26" t="s">
        <v>491</v>
      </c>
      <c r="AS134" s="34">
        <f>AM134+AN134</f>
        <v>0</v>
      </c>
      <c r="AT134" s="34">
        <f>G134/(100-AU134)*100</f>
        <v>0</v>
      </c>
      <c r="AU134" s="34">
        <v>0</v>
      </c>
      <c r="AV134" s="34">
        <f>L134</f>
        <v>0</v>
      </c>
    </row>
    <row r="135" spans="1:37" ht="12.75">
      <c r="A135" s="5"/>
      <c r="B135" s="13"/>
      <c r="C135" s="13" t="s">
        <v>231</v>
      </c>
      <c r="D135" s="92" t="s">
        <v>379</v>
      </c>
      <c r="E135" s="93"/>
      <c r="F135" s="93"/>
      <c r="G135" s="93"/>
      <c r="H135" s="37">
        <f>SUM(H136:H141)</f>
        <v>0</v>
      </c>
      <c r="I135" s="37">
        <f>SUM(I136:I141)</f>
        <v>0</v>
      </c>
      <c r="J135" s="37">
        <f>H135+I135</f>
        <v>0</v>
      </c>
      <c r="K135" s="26"/>
      <c r="L135" s="37">
        <f>SUM(L136:L141)</f>
        <v>0.42614399999999997</v>
      </c>
      <c r="M135" s="26"/>
      <c r="Y135" s="26"/>
      <c r="AI135" s="37">
        <f>SUM(Z136:Z141)</f>
        <v>0</v>
      </c>
      <c r="AJ135" s="37">
        <f>SUM(AA136:AA141)</f>
        <v>0</v>
      </c>
      <c r="AK135" s="37">
        <f>SUM(AB136:AB141)</f>
        <v>0</v>
      </c>
    </row>
    <row r="136" spans="1:48" ht="12.75">
      <c r="A136" s="4" t="s">
        <v>102</v>
      </c>
      <c r="B136" s="4"/>
      <c r="C136" s="4" t="s">
        <v>232</v>
      </c>
      <c r="D136" s="4" t="s">
        <v>380</v>
      </c>
      <c r="E136" s="4" t="s">
        <v>414</v>
      </c>
      <c r="F136" s="17">
        <v>16.2</v>
      </c>
      <c r="G136" s="17">
        <v>0</v>
      </c>
      <c r="H136" s="17">
        <f aca="true" t="shared" si="80" ref="H136:H141">F136*AE136</f>
        <v>0</v>
      </c>
      <c r="I136" s="17">
        <f aca="true" t="shared" si="81" ref="I136:I141">J136-H136</f>
        <v>0</v>
      </c>
      <c r="J136" s="17">
        <f aca="true" t="shared" si="82" ref="J136:J141">F136*G136</f>
        <v>0</v>
      </c>
      <c r="K136" s="17">
        <v>0.00021</v>
      </c>
      <c r="L136" s="17">
        <f aca="true" t="shared" si="83" ref="L136:L141">F136*K136</f>
        <v>0.003402</v>
      </c>
      <c r="M136" s="29" t="s">
        <v>434</v>
      </c>
      <c r="P136" s="34">
        <f aca="true" t="shared" si="84" ref="P136:P141">IF(AG136="5",J136,0)</f>
        <v>0</v>
      </c>
      <c r="R136" s="34">
        <f aca="true" t="shared" si="85" ref="R136:R141">IF(AG136="1",H136,0)</f>
        <v>0</v>
      </c>
      <c r="S136" s="34">
        <f aca="true" t="shared" si="86" ref="S136:S141">IF(AG136="1",I136,0)</f>
        <v>0</v>
      </c>
      <c r="T136" s="34">
        <f aca="true" t="shared" si="87" ref="T136:T141">IF(AG136="7",H136,0)</f>
        <v>0</v>
      </c>
      <c r="U136" s="34">
        <f aca="true" t="shared" si="88" ref="U136:U141">IF(AG136="7",I136,0)</f>
        <v>0</v>
      </c>
      <c r="V136" s="34">
        <f aca="true" t="shared" si="89" ref="V136:V141">IF(AG136="2",H136,0)</f>
        <v>0</v>
      </c>
      <c r="W136" s="34">
        <f aca="true" t="shared" si="90" ref="W136:W141">IF(AG136="2",I136,0)</f>
        <v>0</v>
      </c>
      <c r="X136" s="34">
        <f aca="true" t="shared" si="91" ref="X136:X141">IF(AG136="0",J136,0)</f>
        <v>0</v>
      </c>
      <c r="Y136" s="26"/>
      <c r="Z136" s="17">
        <f aca="true" t="shared" si="92" ref="Z136:Z141">IF(AD136=0,J136,0)</f>
        <v>0</v>
      </c>
      <c r="AA136" s="17">
        <f aca="true" t="shared" si="93" ref="AA136:AA141">IF(AD136=15,J136,0)</f>
        <v>0</v>
      </c>
      <c r="AB136" s="17">
        <f aca="true" t="shared" si="94" ref="AB136:AB141">IF(AD136=21,J136,0)</f>
        <v>0</v>
      </c>
      <c r="AD136" s="34">
        <v>21</v>
      </c>
      <c r="AE136" s="34">
        <f>G136*0.567362924281985</f>
        <v>0</v>
      </c>
      <c r="AF136" s="34">
        <f>G136*(1-0.567362924281985)</f>
        <v>0</v>
      </c>
      <c r="AG136" s="29" t="s">
        <v>13</v>
      </c>
      <c r="AM136" s="34">
        <f aca="true" t="shared" si="95" ref="AM136:AM141">F136*AE136</f>
        <v>0</v>
      </c>
      <c r="AN136" s="34">
        <f aca="true" t="shared" si="96" ref="AN136:AN141">F136*AF136</f>
        <v>0</v>
      </c>
      <c r="AO136" s="35" t="s">
        <v>472</v>
      </c>
      <c r="AP136" s="35" t="s">
        <v>488</v>
      </c>
      <c r="AQ136" s="26" t="s">
        <v>491</v>
      </c>
      <c r="AS136" s="34">
        <f aca="true" t="shared" si="97" ref="AS136:AS141">AM136+AN136</f>
        <v>0</v>
      </c>
      <c r="AT136" s="34">
        <f aca="true" t="shared" si="98" ref="AT136:AT141">G136/(100-AU136)*100</f>
        <v>0</v>
      </c>
      <c r="AU136" s="34">
        <v>0</v>
      </c>
      <c r="AV136" s="34">
        <f aca="true" t="shared" si="99" ref="AV136:AV141">L136</f>
        <v>0.003402</v>
      </c>
    </row>
    <row r="137" spans="1:48" ht="12.75">
      <c r="A137" s="4" t="s">
        <v>103</v>
      </c>
      <c r="B137" s="4"/>
      <c r="C137" s="4" t="s">
        <v>233</v>
      </c>
      <c r="D137" s="4" t="s">
        <v>381</v>
      </c>
      <c r="E137" s="4" t="s">
        <v>413</v>
      </c>
      <c r="F137" s="17">
        <v>9.96</v>
      </c>
      <c r="G137" s="17">
        <v>0</v>
      </c>
      <c r="H137" s="17">
        <f t="shared" si="80"/>
        <v>0</v>
      </c>
      <c r="I137" s="17">
        <f t="shared" si="81"/>
        <v>0</v>
      </c>
      <c r="J137" s="17">
        <f t="shared" si="82"/>
        <v>0</v>
      </c>
      <c r="K137" s="17">
        <v>0</v>
      </c>
      <c r="L137" s="17">
        <f t="shared" si="83"/>
        <v>0</v>
      </c>
      <c r="M137" s="29" t="s">
        <v>434</v>
      </c>
      <c r="P137" s="34">
        <f t="shared" si="84"/>
        <v>0</v>
      </c>
      <c r="R137" s="34">
        <f t="shared" si="85"/>
        <v>0</v>
      </c>
      <c r="S137" s="34">
        <f t="shared" si="86"/>
        <v>0</v>
      </c>
      <c r="T137" s="34">
        <f t="shared" si="87"/>
        <v>0</v>
      </c>
      <c r="U137" s="34">
        <f t="shared" si="88"/>
        <v>0</v>
      </c>
      <c r="V137" s="34">
        <f t="shared" si="89"/>
        <v>0</v>
      </c>
      <c r="W137" s="34">
        <f t="shared" si="90"/>
        <v>0</v>
      </c>
      <c r="X137" s="34">
        <f t="shared" si="91"/>
        <v>0</v>
      </c>
      <c r="Y137" s="26"/>
      <c r="Z137" s="17">
        <f t="shared" si="92"/>
        <v>0</v>
      </c>
      <c r="AA137" s="17">
        <f t="shared" si="93"/>
        <v>0</v>
      </c>
      <c r="AB137" s="17">
        <f t="shared" si="94"/>
        <v>0</v>
      </c>
      <c r="AD137" s="34">
        <v>21</v>
      </c>
      <c r="AE137" s="34">
        <f>G137*0</f>
        <v>0</v>
      </c>
      <c r="AF137" s="34">
        <f>G137*(1-0)</f>
        <v>0</v>
      </c>
      <c r="AG137" s="29" t="s">
        <v>13</v>
      </c>
      <c r="AM137" s="34">
        <f t="shared" si="95"/>
        <v>0</v>
      </c>
      <c r="AN137" s="34">
        <f t="shared" si="96"/>
        <v>0</v>
      </c>
      <c r="AO137" s="35" t="s">
        <v>472</v>
      </c>
      <c r="AP137" s="35" t="s">
        <v>488</v>
      </c>
      <c r="AQ137" s="26" t="s">
        <v>491</v>
      </c>
      <c r="AS137" s="34">
        <f t="shared" si="97"/>
        <v>0</v>
      </c>
      <c r="AT137" s="34">
        <f t="shared" si="98"/>
        <v>0</v>
      </c>
      <c r="AU137" s="34">
        <v>0</v>
      </c>
      <c r="AV137" s="34">
        <f t="shared" si="99"/>
        <v>0</v>
      </c>
    </row>
    <row r="138" spans="1:48" ht="12.75">
      <c r="A138" s="4" t="s">
        <v>104</v>
      </c>
      <c r="B138" s="4"/>
      <c r="C138" s="4" t="s">
        <v>234</v>
      </c>
      <c r="D138" s="4" t="s">
        <v>382</v>
      </c>
      <c r="E138" s="4" t="s">
        <v>413</v>
      </c>
      <c r="F138" s="17">
        <v>9.96</v>
      </c>
      <c r="G138" s="17">
        <v>0</v>
      </c>
      <c r="H138" s="17">
        <f t="shared" si="80"/>
        <v>0</v>
      </c>
      <c r="I138" s="17">
        <f t="shared" si="81"/>
        <v>0</v>
      </c>
      <c r="J138" s="17">
        <f t="shared" si="82"/>
        <v>0</v>
      </c>
      <c r="K138" s="17">
        <v>0</v>
      </c>
      <c r="L138" s="17">
        <f t="shared" si="83"/>
        <v>0</v>
      </c>
      <c r="M138" s="29" t="s">
        <v>434</v>
      </c>
      <c r="P138" s="34">
        <f t="shared" si="84"/>
        <v>0</v>
      </c>
      <c r="R138" s="34">
        <f t="shared" si="85"/>
        <v>0</v>
      </c>
      <c r="S138" s="34">
        <f t="shared" si="86"/>
        <v>0</v>
      </c>
      <c r="T138" s="34">
        <f t="shared" si="87"/>
        <v>0</v>
      </c>
      <c r="U138" s="34">
        <f t="shared" si="88"/>
        <v>0</v>
      </c>
      <c r="V138" s="34">
        <f t="shared" si="89"/>
        <v>0</v>
      </c>
      <c r="W138" s="34">
        <f t="shared" si="90"/>
        <v>0</v>
      </c>
      <c r="X138" s="34">
        <f t="shared" si="91"/>
        <v>0</v>
      </c>
      <c r="Y138" s="26"/>
      <c r="Z138" s="17">
        <f t="shared" si="92"/>
        <v>0</v>
      </c>
      <c r="AA138" s="17">
        <f t="shared" si="93"/>
        <v>0</v>
      </c>
      <c r="AB138" s="17">
        <f t="shared" si="94"/>
        <v>0</v>
      </c>
      <c r="AD138" s="34">
        <v>21</v>
      </c>
      <c r="AE138" s="34">
        <f>G138*0.0790202653448024</f>
        <v>0</v>
      </c>
      <c r="AF138" s="34">
        <f>G138*(1-0.0790202653448024)</f>
        <v>0</v>
      </c>
      <c r="AG138" s="29" t="s">
        <v>13</v>
      </c>
      <c r="AM138" s="34">
        <f t="shared" si="95"/>
        <v>0</v>
      </c>
      <c r="AN138" s="34">
        <f t="shared" si="96"/>
        <v>0</v>
      </c>
      <c r="AO138" s="35" t="s">
        <v>472</v>
      </c>
      <c r="AP138" s="35" t="s">
        <v>488</v>
      </c>
      <c r="AQ138" s="26" t="s">
        <v>491</v>
      </c>
      <c r="AS138" s="34">
        <f t="shared" si="97"/>
        <v>0</v>
      </c>
      <c r="AT138" s="34">
        <f t="shared" si="98"/>
        <v>0</v>
      </c>
      <c r="AU138" s="34">
        <v>0</v>
      </c>
      <c r="AV138" s="34">
        <f t="shared" si="99"/>
        <v>0</v>
      </c>
    </row>
    <row r="139" spans="1:48" ht="12.75">
      <c r="A139" s="4" t="s">
        <v>105</v>
      </c>
      <c r="B139" s="4"/>
      <c r="C139" s="4" t="s">
        <v>235</v>
      </c>
      <c r="D139" s="4" t="s">
        <v>383</v>
      </c>
      <c r="E139" s="4" t="s">
        <v>414</v>
      </c>
      <c r="F139" s="17">
        <v>16.2</v>
      </c>
      <c r="G139" s="17">
        <v>0</v>
      </c>
      <c r="H139" s="17">
        <f t="shared" si="80"/>
        <v>0</v>
      </c>
      <c r="I139" s="17">
        <f t="shared" si="81"/>
        <v>0</v>
      </c>
      <c r="J139" s="17">
        <f t="shared" si="82"/>
        <v>0</v>
      </c>
      <c r="K139" s="17">
        <v>0.00475</v>
      </c>
      <c r="L139" s="17">
        <f t="shared" si="83"/>
        <v>0.07694999999999999</v>
      </c>
      <c r="M139" s="29" t="s">
        <v>434</v>
      </c>
      <c r="P139" s="34">
        <f t="shared" si="84"/>
        <v>0</v>
      </c>
      <c r="R139" s="34">
        <f t="shared" si="85"/>
        <v>0</v>
      </c>
      <c r="S139" s="34">
        <f t="shared" si="86"/>
        <v>0</v>
      </c>
      <c r="T139" s="34">
        <f t="shared" si="87"/>
        <v>0</v>
      </c>
      <c r="U139" s="34">
        <f t="shared" si="88"/>
        <v>0</v>
      </c>
      <c r="V139" s="34">
        <f t="shared" si="89"/>
        <v>0</v>
      </c>
      <c r="W139" s="34">
        <f t="shared" si="90"/>
        <v>0</v>
      </c>
      <c r="X139" s="34">
        <f t="shared" si="91"/>
        <v>0</v>
      </c>
      <c r="Y139" s="26"/>
      <c r="Z139" s="17">
        <f t="shared" si="92"/>
        <v>0</v>
      </c>
      <c r="AA139" s="17">
        <f t="shared" si="93"/>
        <v>0</v>
      </c>
      <c r="AB139" s="17">
        <f t="shared" si="94"/>
        <v>0</v>
      </c>
      <c r="AD139" s="34">
        <v>21</v>
      </c>
      <c r="AE139" s="34">
        <f>G139*0.193432835820896</f>
        <v>0</v>
      </c>
      <c r="AF139" s="34">
        <f>G139*(1-0.193432835820896)</f>
        <v>0</v>
      </c>
      <c r="AG139" s="29" t="s">
        <v>13</v>
      </c>
      <c r="AM139" s="34">
        <f t="shared" si="95"/>
        <v>0</v>
      </c>
      <c r="AN139" s="34">
        <f t="shared" si="96"/>
        <v>0</v>
      </c>
      <c r="AO139" s="35" t="s">
        <v>472</v>
      </c>
      <c r="AP139" s="35" t="s">
        <v>488</v>
      </c>
      <c r="AQ139" s="26" t="s">
        <v>491</v>
      </c>
      <c r="AS139" s="34">
        <f t="shared" si="97"/>
        <v>0</v>
      </c>
      <c r="AT139" s="34">
        <f t="shared" si="98"/>
        <v>0</v>
      </c>
      <c r="AU139" s="34">
        <v>0</v>
      </c>
      <c r="AV139" s="34">
        <f t="shared" si="99"/>
        <v>0.07694999999999999</v>
      </c>
    </row>
    <row r="140" spans="1:48" ht="12.75">
      <c r="A140" s="6" t="s">
        <v>106</v>
      </c>
      <c r="B140" s="6"/>
      <c r="C140" s="6" t="s">
        <v>236</v>
      </c>
      <c r="D140" s="6" t="s">
        <v>384</v>
      </c>
      <c r="E140" s="6" t="s">
        <v>414</v>
      </c>
      <c r="F140" s="18">
        <v>18.01</v>
      </c>
      <c r="G140" s="18">
        <v>0</v>
      </c>
      <c r="H140" s="18">
        <f t="shared" si="80"/>
        <v>0</v>
      </c>
      <c r="I140" s="18">
        <f t="shared" si="81"/>
        <v>0</v>
      </c>
      <c r="J140" s="18">
        <f t="shared" si="82"/>
        <v>0</v>
      </c>
      <c r="K140" s="18">
        <v>0.0192</v>
      </c>
      <c r="L140" s="18">
        <f t="shared" si="83"/>
        <v>0.345792</v>
      </c>
      <c r="M140" s="30" t="s">
        <v>434</v>
      </c>
      <c r="P140" s="34">
        <f t="shared" si="84"/>
        <v>0</v>
      </c>
      <c r="R140" s="34">
        <f t="shared" si="85"/>
        <v>0</v>
      </c>
      <c r="S140" s="34">
        <f t="shared" si="86"/>
        <v>0</v>
      </c>
      <c r="T140" s="34">
        <f t="shared" si="87"/>
        <v>0</v>
      </c>
      <c r="U140" s="34">
        <f t="shared" si="88"/>
        <v>0</v>
      </c>
      <c r="V140" s="34">
        <f t="shared" si="89"/>
        <v>0</v>
      </c>
      <c r="W140" s="34">
        <f t="shared" si="90"/>
        <v>0</v>
      </c>
      <c r="X140" s="34">
        <f t="shared" si="91"/>
        <v>0</v>
      </c>
      <c r="Y140" s="26"/>
      <c r="Z140" s="18">
        <f t="shared" si="92"/>
        <v>0</v>
      </c>
      <c r="AA140" s="18">
        <f t="shared" si="93"/>
        <v>0</v>
      </c>
      <c r="AB140" s="18">
        <f t="shared" si="94"/>
        <v>0</v>
      </c>
      <c r="AD140" s="34">
        <v>21</v>
      </c>
      <c r="AE140" s="34">
        <f>G140*1</f>
        <v>0</v>
      </c>
      <c r="AF140" s="34">
        <f>G140*(1-1)</f>
        <v>0</v>
      </c>
      <c r="AG140" s="30" t="s">
        <v>13</v>
      </c>
      <c r="AM140" s="34">
        <f t="shared" si="95"/>
        <v>0</v>
      </c>
      <c r="AN140" s="34">
        <f t="shared" si="96"/>
        <v>0</v>
      </c>
      <c r="AO140" s="35" t="s">
        <v>472</v>
      </c>
      <c r="AP140" s="35" t="s">
        <v>488</v>
      </c>
      <c r="AQ140" s="26" t="s">
        <v>491</v>
      </c>
      <c r="AS140" s="34">
        <f t="shared" si="97"/>
        <v>0</v>
      </c>
      <c r="AT140" s="34">
        <f t="shared" si="98"/>
        <v>0</v>
      </c>
      <c r="AU140" s="34">
        <v>0</v>
      </c>
      <c r="AV140" s="34">
        <f t="shared" si="99"/>
        <v>0.345792</v>
      </c>
    </row>
    <row r="141" spans="1:48" ht="12.75">
      <c r="A141" s="4" t="s">
        <v>107</v>
      </c>
      <c r="B141" s="4"/>
      <c r="C141" s="4" t="s">
        <v>237</v>
      </c>
      <c r="D141" s="4" t="s">
        <v>385</v>
      </c>
      <c r="E141" s="4" t="s">
        <v>415</v>
      </c>
      <c r="F141" s="17">
        <v>0.42614</v>
      </c>
      <c r="G141" s="17">
        <v>0</v>
      </c>
      <c r="H141" s="17">
        <f t="shared" si="80"/>
        <v>0</v>
      </c>
      <c r="I141" s="17">
        <f t="shared" si="81"/>
        <v>0</v>
      </c>
      <c r="J141" s="17">
        <f t="shared" si="82"/>
        <v>0</v>
      </c>
      <c r="K141" s="17">
        <v>0</v>
      </c>
      <c r="L141" s="17">
        <f t="shared" si="83"/>
        <v>0</v>
      </c>
      <c r="M141" s="29" t="s">
        <v>434</v>
      </c>
      <c r="P141" s="34">
        <f t="shared" si="84"/>
        <v>0</v>
      </c>
      <c r="R141" s="34">
        <f t="shared" si="85"/>
        <v>0</v>
      </c>
      <c r="S141" s="34">
        <f t="shared" si="86"/>
        <v>0</v>
      </c>
      <c r="T141" s="34">
        <f t="shared" si="87"/>
        <v>0</v>
      </c>
      <c r="U141" s="34">
        <f t="shared" si="88"/>
        <v>0</v>
      </c>
      <c r="V141" s="34">
        <f t="shared" si="89"/>
        <v>0</v>
      </c>
      <c r="W141" s="34">
        <f t="shared" si="90"/>
        <v>0</v>
      </c>
      <c r="X141" s="34">
        <f t="shared" si="91"/>
        <v>0</v>
      </c>
      <c r="Y141" s="26"/>
      <c r="Z141" s="17">
        <f t="shared" si="92"/>
        <v>0</v>
      </c>
      <c r="AA141" s="17">
        <f t="shared" si="93"/>
        <v>0</v>
      </c>
      <c r="AB141" s="17">
        <f t="shared" si="94"/>
        <v>0</v>
      </c>
      <c r="AD141" s="34">
        <v>21</v>
      </c>
      <c r="AE141" s="34">
        <f>G141*0</f>
        <v>0</v>
      </c>
      <c r="AF141" s="34">
        <f>G141*(1-0)</f>
        <v>0</v>
      </c>
      <c r="AG141" s="29" t="s">
        <v>11</v>
      </c>
      <c r="AM141" s="34">
        <f t="shared" si="95"/>
        <v>0</v>
      </c>
      <c r="AN141" s="34">
        <f t="shared" si="96"/>
        <v>0</v>
      </c>
      <c r="AO141" s="35" t="s">
        <v>472</v>
      </c>
      <c r="AP141" s="35" t="s">
        <v>488</v>
      </c>
      <c r="AQ141" s="26" t="s">
        <v>491</v>
      </c>
      <c r="AS141" s="34">
        <f t="shared" si="97"/>
        <v>0</v>
      </c>
      <c r="AT141" s="34">
        <f t="shared" si="98"/>
        <v>0</v>
      </c>
      <c r="AU141" s="34">
        <v>0</v>
      </c>
      <c r="AV141" s="34">
        <f t="shared" si="99"/>
        <v>0</v>
      </c>
    </row>
    <row r="142" spans="1:37" ht="12.75">
      <c r="A142" s="5"/>
      <c r="B142" s="13"/>
      <c r="C142" s="13" t="s">
        <v>238</v>
      </c>
      <c r="D142" s="92" t="s">
        <v>386</v>
      </c>
      <c r="E142" s="93"/>
      <c r="F142" s="93"/>
      <c r="G142" s="93"/>
      <c r="H142" s="37">
        <f>SUM(H143:H143)</f>
        <v>0</v>
      </c>
      <c r="I142" s="37">
        <f>SUM(I143:I143)</f>
        <v>0</v>
      </c>
      <c r="J142" s="37">
        <f>H142+I142</f>
        <v>0</v>
      </c>
      <c r="K142" s="26"/>
      <c r="L142" s="37">
        <f>SUM(L143:L143)</f>
        <v>0</v>
      </c>
      <c r="M142" s="26"/>
      <c r="Y142" s="26"/>
      <c r="AI142" s="37">
        <f>SUM(Z143:Z143)</f>
        <v>0</v>
      </c>
      <c r="AJ142" s="37">
        <f>SUM(AA143:AA143)</f>
        <v>0</v>
      </c>
      <c r="AK142" s="37">
        <f>SUM(AB143:AB143)</f>
        <v>0</v>
      </c>
    </row>
    <row r="143" spans="1:48" ht="12.75">
      <c r="A143" s="4" t="s">
        <v>108</v>
      </c>
      <c r="B143" s="4"/>
      <c r="C143" s="4" t="s">
        <v>239</v>
      </c>
      <c r="D143" s="4" t="s">
        <v>387</v>
      </c>
      <c r="E143" s="4" t="s">
        <v>414</v>
      </c>
      <c r="F143" s="17">
        <v>16.2</v>
      </c>
      <c r="G143" s="17">
        <v>0</v>
      </c>
      <c r="H143" s="17">
        <f>F143*AE143</f>
        <v>0</v>
      </c>
      <c r="I143" s="17">
        <f>J143-H143</f>
        <v>0</v>
      </c>
      <c r="J143" s="17">
        <f>F143*G143</f>
        <v>0</v>
      </c>
      <c r="K143" s="17">
        <v>0</v>
      </c>
      <c r="L143" s="17">
        <f>F143*K143</f>
        <v>0</v>
      </c>
      <c r="M143" s="29" t="s">
        <v>434</v>
      </c>
      <c r="P143" s="34">
        <f>IF(AG143="5",J143,0)</f>
        <v>0</v>
      </c>
      <c r="R143" s="34">
        <f>IF(AG143="1",H143,0)</f>
        <v>0</v>
      </c>
      <c r="S143" s="34">
        <f>IF(AG143="1",I143,0)</f>
        <v>0</v>
      </c>
      <c r="T143" s="34">
        <f>IF(AG143="7",H143,0)</f>
        <v>0</v>
      </c>
      <c r="U143" s="34">
        <f>IF(AG143="7",I143,0)</f>
        <v>0</v>
      </c>
      <c r="V143" s="34">
        <f>IF(AG143="2",H143,0)</f>
        <v>0</v>
      </c>
      <c r="W143" s="34">
        <f>IF(AG143="2",I143,0)</f>
        <v>0</v>
      </c>
      <c r="X143" s="34">
        <f>IF(AG143="0",J143,0)</f>
        <v>0</v>
      </c>
      <c r="Y143" s="26"/>
      <c r="Z143" s="17">
        <f>IF(AD143=0,J143,0)</f>
        <v>0</v>
      </c>
      <c r="AA143" s="17">
        <f>IF(AD143=15,J143,0)</f>
        <v>0</v>
      </c>
      <c r="AB143" s="17">
        <f>IF(AD143=21,J143,0)</f>
        <v>0</v>
      </c>
      <c r="AD143" s="34">
        <v>21</v>
      </c>
      <c r="AE143" s="34">
        <f>G143*0</f>
        <v>0</v>
      </c>
      <c r="AF143" s="34">
        <f>G143*(1-0)</f>
        <v>0</v>
      </c>
      <c r="AG143" s="29" t="s">
        <v>13</v>
      </c>
      <c r="AM143" s="34">
        <f>F143*AE143</f>
        <v>0</v>
      </c>
      <c r="AN143" s="34">
        <f>F143*AF143</f>
        <v>0</v>
      </c>
      <c r="AO143" s="35" t="s">
        <v>473</v>
      </c>
      <c r="AP143" s="35" t="s">
        <v>488</v>
      </c>
      <c r="AQ143" s="26" t="s">
        <v>491</v>
      </c>
      <c r="AS143" s="34">
        <f>AM143+AN143</f>
        <v>0</v>
      </c>
      <c r="AT143" s="34">
        <f>G143/(100-AU143)*100</f>
        <v>0</v>
      </c>
      <c r="AU143" s="34">
        <v>0</v>
      </c>
      <c r="AV143" s="34">
        <f>L143</f>
        <v>0</v>
      </c>
    </row>
    <row r="144" spans="1:37" ht="12.75">
      <c r="A144" s="5"/>
      <c r="B144" s="13"/>
      <c r="C144" s="13" t="s">
        <v>240</v>
      </c>
      <c r="D144" s="92" t="s">
        <v>388</v>
      </c>
      <c r="E144" s="93"/>
      <c r="F144" s="93"/>
      <c r="G144" s="93"/>
      <c r="H144" s="37">
        <f>SUM(H145:H148)</f>
        <v>0</v>
      </c>
      <c r="I144" s="37">
        <f>SUM(I145:I148)</f>
        <v>0</v>
      </c>
      <c r="J144" s="37">
        <f>H144+I144</f>
        <v>0</v>
      </c>
      <c r="K144" s="26"/>
      <c r="L144" s="37">
        <f>SUM(L145:L148)</f>
        <v>0.2559632</v>
      </c>
      <c r="M144" s="26"/>
      <c r="Y144" s="26"/>
      <c r="AI144" s="37">
        <f>SUM(Z145:Z148)</f>
        <v>0</v>
      </c>
      <c r="AJ144" s="37">
        <f>SUM(AA145:AA148)</f>
        <v>0</v>
      </c>
      <c r="AK144" s="37">
        <f>SUM(AB145:AB148)</f>
        <v>0</v>
      </c>
    </row>
    <row r="145" spans="1:48" ht="12.75">
      <c r="A145" s="4" t="s">
        <v>109</v>
      </c>
      <c r="B145" s="4"/>
      <c r="C145" s="4" t="s">
        <v>241</v>
      </c>
      <c r="D145" s="4" t="s">
        <v>389</v>
      </c>
      <c r="E145" s="4" t="s">
        <v>414</v>
      </c>
      <c r="F145" s="17">
        <v>18.92</v>
      </c>
      <c r="G145" s="17">
        <v>0</v>
      </c>
      <c r="H145" s="17">
        <f>F145*AE145</f>
        <v>0</v>
      </c>
      <c r="I145" s="17">
        <f>J145-H145</f>
        <v>0</v>
      </c>
      <c r="J145" s="17">
        <f>F145*G145</f>
        <v>0</v>
      </c>
      <c r="K145" s="17">
        <v>0.00011</v>
      </c>
      <c r="L145" s="17">
        <f>F145*K145</f>
        <v>0.0020812</v>
      </c>
      <c r="M145" s="29" t="s">
        <v>434</v>
      </c>
      <c r="P145" s="34">
        <f>IF(AG145="5",J145,0)</f>
        <v>0</v>
      </c>
      <c r="R145" s="34">
        <f>IF(AG145="1",H145,0)</f>
        <v>0</v>
      </c>
      <c r="S145" s="34">
        <f>IF(AG145="1",I145,0)</f>
        <v>0</v>
      </c>
      <c r="T145" s="34">
        <f>IF(AG145="7",H145,0)</f>
        <v>0</v>
      </c>
      <c r="U145" s="34">
        <f>IF(AG145="7",I145,0)</f>
        <v>0</v>
      </c>
      <c r="V145" s="34">
        <f>IF(AG145="2",H145,0)</f>
        <v>0</v>
      </c>
      <c r="W145" s="34">
        <f>IF(AG145="2",I145,0)</f>
        <v>0</v>
      </c>
      <c r="X145" s="34">
        <f>IF(AG145="0",J145,0)</f>
        <v>0</v>
      </c>
      <c r="Y145" s="26"/>
      <c r="Z145" s="17">
        <f>IF(AD145=0,J145,0)</f>
        <v>0</v>
      </c>
      <c r="AA145" s="17">
        <f>IF(AD145=15,J145,0)</f>
        <v>0</v>
      </c>
      <c r="AB145" s="17">
        <f>IF(AD145=21,J145,0)</f>
        <v>0</v>
      </c>
      <c r="AD145" s="34">
        <v>21</v>
      </c>
      <c r="AE145" s="34">
        <f>G145*0.451324503311258</f>
        <v>0</v>
      </c>
      <c r="AF145" s="34">
        <f>G145*(1-0.451324503311258)</f>
        <v>0</v>
      </c>
      <c r="AG145" s="29" t="s">
        <v>13</v>
      </c>
      <c r="AM145" s="34">
        <f>F145*AE145</f>
        <v>0</v>
      </c>
      <c r="AN145" s="34">
        <f>F145*AF145</f>
        <v>0</v>
      </c>
      <c r="AO145" s="35" t="s">
        <v>474</v>
      </c>
      <c r="AP145" s="35" t="s">
        <v>489</v>
      </c>
      <c r="AQ145" s="26" t="s">
        <v>491</v>
      </c>
      <c r="AS145" s="34">
        <f>AM145+AN145</f>
        <v>0</v>
      </c>
      <c r="AT145" s="34">
        <f>G145/(100-AU145)*100</f>
        <v>0</v>
      </c>
      <c r="AU145" s="34">
        <v>0</v>
      </c>
      <c r="AV145" s="34">
        <f>L145</f>
        <v>0.0020812</v>
      </c>
    </row>
    <row r="146" spans="1:48" ht="12.75">
      <c r="A146" s="4" t="s">
        <v>110</v>
      </c>
      <c r="B146" s="4"/>
      <c r="C146" s="4" t="s">
        <v>242</v>
      </c>
      <c r="D146" s="4" t="s">
        <v>390</v>
      </c>
      <c r="E146" s="4" t="s">
        <v>414</v>
      </c>
      <c r="F146" s="17">
        <v>18.92</v>
      </c>
      <c r="G146" s="17">
        <v>0</v>
      </c>
      <c r="H146" s="17">
        <f>F146*AE146</f>
        <v>0</v>
      </c>
      <c r="I146" s="17">
        <f>J146-H146</f>
        <v>0</v>
      </c>
      <c r="J146" s="17">
        <f>F146*G146</f>
        <v>0</v>
      </c>
      <c r="K146" s="17">
        <v>0</v>
      </c>
      <c r="L146" s="17">
        <f>F146*K146</f>
        <v>0</v>
      </c>
      <c r="M146" s="29" t="s">
        <v>434</v>
      </c>
      <c r="P146" s="34">
        <f>IF(AG146="5",J146,0)</f>
        <v>0</v>
      </c>
      <c r="R146" s="34">
        <f>IF(AG146="1",H146,0)</f>
        <v>0</v>
      </c>
      <c r="S146" s="34">
        <f>IF(AG146="1",I146,0)</f>
        <v>0</v>
      </c>
      <c r="T146" s="34">
        <f>IF(AG146="7",H146,0)</f>
        <v>0</v>
      </c>
      <c r="U146" s="34">
        <f>IF(AG146="7",I146,0)</f>
        <v>0</v>
      </c>
      <c r="V146" s="34">
        <f>IF(AG146="2",H146,0)</f>
        <v>0</v>
      </c>
      <c r="W146" s="34">
        <f>IF(AG146="2",I146,0)</f>
        <v>0</v>
      </c>
      <c r="X146" s="34">
        <f>IF(AG146="0",J146,0)</f>
        <v>0</v>
      </c>
      <c r="Y146" s="26"/>
      <c r="Z146" s="17">
        <f>IF(AD146=0,J146,0)</f>
        <v>0</v>
      </c>
      <c r="AA146" s="17">
        <f>IF(AD146=15,J146,0)</f>
        <v>0</v>
      </c>
      <c r="AB146" s="17">
        <f>IF(AD146=21,J146,0)</f>
        <v>0</v>
      </c>
      <c r="AD146" s="34">
        <v>21</v>
      </c>
      <c r="AE146" s="34">
        <f>G146*0</f>
        <v>0</v>
      </c>
      <c r="AF146" s="34">
        <f>G146*(1-0)</f>
        <v>0</v>
      </c>
      <c r="AG146" s="29" t="s">
        <v>13</v>
      </c>
      <c r="AM146" s="34">
        <f>F146*AE146</f>
        <v>0</v>
      </c>
      <c r="AN146" s="34">
        <f>F146*AF146</f>
        <v>0</v>
      </c>
      <c r="AO146" s="35" t="s">
        <v>474</v>
      </c>
      <c r="AP146" s="35" t="s">
        <v>489</v>
      </c>
      <c r="AQ146" s="26" t="s">
        <v>491</v>
      </c>
      <c r="AS146" s="34">
        <f>AM146+AN146</f>
        <v>0</v>
      </c>
      <c r="AT146" s="34">
        <f>G146/(100-AU146)*100</f>
        <v>0</v>
      </c>
      <c r="AU146" s="34">
        <v>0</v>
      </c>
      <c r="AV146" s="34">
        <f>L146</f>
        <v>0</v>
      </c>
    </row>
    <row r="147" spans="1:48" ht="12.75">
      <c r="A147" s="6" t="s">
        <v>111</v>
      </c>
      <c r="B147" s="6"/>
      <c r="C147" s="6" t="s">
        <v>243</v>
      </c>
      <c r="D147" s="6" t="s">
        <v>391</v>
      </c>
      <c r="E147" s="6" t="s">
        <v>414</v>
      </c>
      <c r="F147" s="18">
        <v>20.81</v>
      </c>
      <c r="G147" s="18">
        <v>0</v>
      </c>
      <c r="H147" s="18">
        <f>F147*AE147</f>
        <v>0</v>
      </c>
      <c r="I147" s="18">
        <f>J147-H147</f>
        <v>0</v>
      </c>
      <c r="J147" s="18">
        <f>F147*G147</f>
        <v>0</v>
      </c>
      <c r="K147" s="18">
        <v>0.0122</v>
      </c>
      <c r="L147" s="18">
        <f>F147*K147</f>
        <v>0.253882</v>
      </c>
      <c r="M147" s="30" t="s">
        <v>434</v>
      </c>
      <c r="P147" s="34">
        <f>IF(AG147="5",J147,0)</f>
        <v>0</v>
      </c>
      <c r="R147" s="34">
        <f>IF(AG147="1",H147,0)</f>
        <v>0</v>
      </c>
      <c r="S147" s="34">
        <f>IF(AG147="1",I147,0)</f>
        <v>0</v>
      </c>
      <c r="T147" s="34">
        <f>IF(AG147="7",H147,0)</f>
        <v>0</v>
      </c>
      <c r="U147" s="34">
        <f>IF(AG147="7",I147,0)</f>
        <v>0</v>
      </c>
      <c r="V147" s="34">
        <f>IF(AG147="2",H147,0)</f>
        <v>0</v>
      </c>
      <c r="W147" s="34">
        <f>IF(AG147="2",I147,0)</f>
        <v>0</v>
      </c>
      <c r="X147" s="34">
        <f>IF(AG147="0",J147,0)</f>
        <v>0</v>
      </c>
      <c r="Y147" s="26"/>
      <c r="Z147" s="18">
        <f>IF(AD147=0,J147,0)</f>
        <v>0</v>
      </c>
      <c r="AA147" s="18">
        <f>IF(AD147=15,J147,0)</f>
        <v>0</v>
      </c>
      <c r="AB147" s="18">
        <f>IF(AD147=21,J147,0)</f>
        <v>0</v>
      </c>
      <c r="AD147" s="34">
        <v>21</v>
      </c>
      <c r="AE147" s="34">
        <f>G147*1</f>
        <v>0</v>
      </c>
      <c r="AF147" s="34">
        <f>G147*(1-1)</f>
        <v>0</v>
      </c>
      <c r="AG147" s="30" t="s">
        <v>13</v>
      </c>
      <c r="AM147" s="34">
        <f>F147*AE147</f>
        <v>0</v>
      </c>
      <c r="AN147" s="34">
        <f>F147*AF147</f>
        <v>0</v>
      </c>
      <c r="AO147" s="35" t="s">
        <v>474</v>
      </c>
      <c r="AP147" s="35" t="s">
        <v>489</v>
      </c>
      <c r="AQ147" s="26" t="s">
        <v>491</v>
      </c>
      <c r="AS147" s="34">
        <f>AM147+AN147</f>
        <v>0</v>
      </c>
      <c r="AT147" s="34">
        <f>G147/(100-AU147)*100</f>
        <v>0</v>
      </c>
      <c r="AU147" s="34">
        <v>0</v>
      </c>
      <c r="AV147" s="34">
        <f>L147</f>
        <v>0.253882</v>
      </c>
    </row>
    <row r="148" spans="1:48" ht="12.75">
      <c r="A148" s="4" t="s">
        <v>112</v>
      </c>
      <c r="B148" s="4"/>
      <c r="C148" s="4" t="s">
        <v>244</v>
      </c>
      <c r="D148" s="4" t="s">
        <v>392</v>
      </c>
      <c r="E148" s="4" t="s">
        <v>415</v>
      </c>
      <c r="F148" s="17">
        <v>0.25596</v>
      </c>
      <c r="G148" s="17">
        <v>0</v>
      </c>
      <c r="H148" s="17">
        <f>F148*AE148</f>
        <v>0</v>
      </c>
      <c r="I148" s="17">
        <f>J148-H148</f>
        <v>0</v>
      </c>
      <c r="J148" s="17">
        <f>F148*G148</f>
        <v>0</v>
      </c>
      <c r="K148" s="17">
        <v>0</v>
      </c>
      <c r="L148" s="17">
        <f>F148*K148</f>
        <v>0</v>
      </c>
      <c r="M148" s="29" t="s">
        <v>434</v>
      </c>
      <c r="P148" s="34">
        <f>IF(AG148="5",J148,0)</f>
        <v>0</v>
      </c>
      <c r="R148" s="34">
        <f>IF(AG148="1",H148,0)</f>
        <v>0</v>
      </c>
      <c r="S148" s="34">
        <f>IF(AG148="1",I148,0)</f>
        <v>0</v>
      </c>
      <c r="T148" s="34">
        <f>IF(AG148="7",H148,0)</f>
        <v>0</v>
      </c>
      <c r="U148" s="34">
        <f>IF(AG148="7",I148,0)</f>
        <v>0</v>
      </c>
      <c r="V148" s="34">
        <f>IF(AG148="2",H148,0)</f>
        <v>0</v>
      </c>
      <c r="W148" s="34">
        <f>IF(AG148="2",I148,0)</f>
        <v>0</v>
      </c>
      <c r="X148" s="34">
        <f>IF(AG148="0",J148,0)</f>
        <v>0</v>
      </c>
      <c r="Y148" s="26"/>
      <c r="Z148" s="17">
        <f>IF(AD148=0,J148,0)</f>
        <v>0</v>
      </c>
      <c r="AA148" s="17">
        <f>IF(AD148=15,J148,0)</f>
        <v>0</v>
      </c>
      <c r="AB148" s="17">
        <f>IF(AD148=21,J148,0)</f>
        <v>0</v>
      </c>
      <c r="AD148" s="34">
        <v>21</v>
      </c>
      <c r="AE148" s="34">
        <f>G148*0</f>
        <v>0</v>
      </c>
      <c r="AF148" s="34">
        <f>G148*(1-0)</f>
        <v>0</v>
      </c>
      <c r="AG148" s="29" t="s">
        <v>11</v>
      </c>
      <c r="AM148" s="34">
        <f>F148*AE148</f>
        <v>0</v>
      </c>
      <c r="AN148" s="34">
        <f>F148*AF148</f>
        <v>0</v>
      </c>
      <c r="AO148" s="35" t="s">
        <v>474</v>
      </c>
      <c r="AP148" s="35" t="s">
        <v>489</v>
      </c>
      <c r="AQ148" s="26" t="s">
        <v>491</v>
      </c>
      <c r="AS148" s="34">
        <f>AM148+AN148</f>
        <v>0</v>
      </c>
      <c r="AT148" s="34">
        <f>G148/(100-AU148)*100</f>
        <v>0</v>
      </c>
      <c r="AU148" s="34">
        <v>0</v>
      </c>
      <c r="AV148" s="34">
        <f>L148</f>
        <v>0</v>
      </c>
    </row>
    <row r="149" spans="1:37" ht="12.75">
      <c r="A149" s="5"/>
      <c r="B149" s="13"/>
      <c r="C149" s="13" t="s">
        <v>245</v>
      </c>
      <c r="D149" s="92" t="s">
        <v>393</v>
      </c>
      <c r="E149" s="93"/>
      <c r="F149" s="93"/>
      <c r="G149" s="93"/>
      <c r="H149" s="37">
        <f>SUM(H150:H152)</f>
        <v>0</v>
      </c>
      <c r="I149" s="37">
        <f>SUM(I150:I152)</f>
        <v>0</v>
      </c>
      <c r="J149" s="37">
        <f>H149+I149</f>
        <v>0</v>
      </c>
      <c r="K149" s="26"/>
      <c r="L149" s="37">
        <f>SUM(L150:L152)</f>
        <v>0.0150958</v>
      </c>
      <c r="M149" s="26"/>
      <c r="Y149" s="26"/>
      <c r="AI149" s="37">
        <f>SUM(Z150:Z152)</f>
        <v>0</v>
      </c>
      <c r="AJ149" s="37">
        <f>SUM(AA150:AA152)</f>
        <v>0</v>
      </c>
      <c r="AK149" s="37">
        <f>SUM(AB150:AB152)</f>
        <v>0</v>
      </c>
    </row>
    <row r="150" spans="1:48" ht="12.75">
      <c r="A150" s="4" t="s">
        <v>113</v>
      </c>
      <c r="B150" s="4"/>
      <c r="C150" s="4" t="s">
        <v>246</v>
      </c>
      <c r="D150" s="4" t="s">
        <v>394</v>
      </c>
      <c r="E150" s="4" t="s">
        <v>414</v>
      </c>
      <c r="F150" s="17">
        <v>37.69</v>
      </c>
      <c r="G150" s="17">
        <v>0</v>
      </c>
      <c r="H150" s="17">
        <f>F150*AE150</f>
        <v>0</v>
      </c>
      <c r="I150" s="17">
        <f>J150-H150</f>
        <v>0</v>
      </c>
      <c r="J150" s="17">
        <f>F150*G150</f>
        <v>0</v>
      </c>
      <c r="K150" s="17">
        <v>7E-05</v>
      </c>
      <c r="L150" s="17">
        <f>F150*K150</f>
        <v>0.0026382999999999997</v>
      </c>
      <c r="M150" s="29" t="s">
        <v>434</v>
      </c>
      <c r="P150" s="34">
        <f>IF(AG150="5",J150,0)</f>
        <v>0</v>
      </c>
      <c r="R150" s="34">
        <f>IF(AG150="1",H150,0)</f>
        <v>0</v>
      </c>
      <c r="S150" s="34">
        <f>IF(AG150="1",I150,0)</f>
        <v>0</v>
      </c>
      <c r="T150" s="34">
        <f>IF(AG150="7",H150,0)</f>
        <v>0</v>
      </c>
      <c r="U150" s="34">
        <f>IF(AG150="7",I150,0)</f>
        <v>0</v>
      </c>
      <c r="V150" s="34">
        <f>IF(AG150="2",H150,0)</f>
        <v>0</v>
      </c>
      <c r="W150" s="34">
        <f>IF(AG150="2",I150,0)</f>
        <v>0</v>
      </c>
      <c r="X150" s="34">
        <f>IF(AG150="0",J150,0)</f>
        <v>0</v>
      </c>
      <c r="Y150" s="26"/>
      <c r="Z150" s="17">
        <f>IF(AD150=0,J150,0)</f>
        <v>0</v>
      </c>
      <c r="AA150" s="17">
        <f>IF(AD150=15,J150,0)</f>
        <v>0</v>
      </c>
      <c r="AB150" s="17">
        <f>IF(AD150=21,J150,0)</f>
        <v>0</v>
      </c>
      <c r="AD150" s="34">
        <v>21</v>
      </c>
      <c r="AE150" s="34">
        <f>G150*0.235515425131678</f>
        <v>0</v>
      </c>
      <c r="AF150" s="34">
        <f>G150*(1-0.235515425131678)</f>
        <v>0</v>
      </c>
      <c r="AG150" s="29" t="s">
        <v>13</v>
      </c>
      <c r="AM150" s="34">
        <f>F150*AE150</f>
        <v>0</v>
      </c>
      <c r="AN150" s="34">
        <f>F150*AF150</f>
        <v>0</v>
      </c>
      <c r="AO150" s="35" t="s">
        <v>475</v>
      </c>
      <c r="AP150" s="35" t="s">
        <v>489</v>
      </c>
      <c r="AQ150" s="26" t="s">
        <v>491</v>
      </c>
      <c r="AS150" s="34">
        <f>AM150+AN150</f>
        <v>0</v>
      </c>
      <c r="AT150" s="34">
        <f>G150/(100-AU150)*100</f>
        <v>0</v>
      </c>
      <c r="AU150" s="34">
        <v>0</v>
      </c>
      <c r="AV150" s="34">
        <f>L150</f>
        <v>0.0026382999999999997</v>
      </c>
    </row>
    <row r="151" spans="1:48" ht="12.75">
      <c r="A151" s="4" t="s">
        <v>114</v>
      </c>
      <c r="B151" s="4"/>
      <c r="C151" s="4" t="s">
        <v>247</v>
      </c>
      <c r="D151" s="4" t="s">
        <v>395</v>
      </c>
      <c r="E151" s="4" t="s">
        <v>414</v>
      </c>
      <c r="F151" s="17">
        <v>37.69</v>
      </c>
      <c r="G151" s="17">
        <v>0</v>
      </c>
      <c r="H151" s="17">
        <f>F151*AE151</f>
        <v>0</v>
      </c>
      <c r="I151" s="17">
        <f>J151-H151</f>
        <v>0</v>
      </c>
      <c r="J151" s="17">
        <f>F151*G151</f>
        <v>0</v>
      </c>
      <c r="K151" s="17">
        <v>0.00015</v>
      </c>
      <c r="L151" s="17">
        <f>F151*K151</f>
        <v>0.005653499999999999</v>
      </c>
      <c r="M151" s="29" t="s">
        <v>434</v>
      </c>
      <c r="P151" s="34">
        <f>IF(AG151="5",J151,0)</f>
        <v>0</v>
      </c>
      <c r="R151" s="34">
        <f>IF(AG151="1",H151,0)</f>
        <v>0</v>
      </c>
      <c r="S151" s="34">
        <f>IF(AG151="1",I151,0)</f>
        <v>0</v>
      </c>
      <c r="T151" s="34">
        <f>IF(AG151="7",H151,0)</f>
        <v>0</v>
      </c>
      <c r="U151" s="34">
        <f>IF(AG151="7",I151,0)</f>
        <v>0</v>
      </c>
      <c r="V151" s="34">
        <f>IF(AG151="2",H151,0)</f>
        <v>0</v>
      </c>
      <c r="W151" s="34">
        <f>IF(AG151="2",I151,0)</f>
        <v>0</v>
      </c>
      <c r="X151" s="34">
        <f>IF(AG151="0",J151,0)</f>
        <v>0</v>
      </c>
      <c r="Y151" s="26"/>
      <c r="Z151" s="17">
        <f>IF(AD151=0,J151,0)</f>
        <v>0</v>
      </c>
      <c r="AA151" s="17">
        <f>IF(AD151=15,J151,0)</f>
        <v>0</v>
      </c>
      <c r="AB151" s="17">
        <f>IF(AD151=21,J151,0)</f>
        <v>0</v>
      </c>
      <c r="AD151" s="34">
        <v>21</v>
      </c>
      <c r="AE151" s="34">
        <f>G151*0.107524082270242</f>
        <v>0</v>
      </c>
      <c r="AF151" s="34">
        <f>G151*(1-0.107524082270242)</f>
        <v>0</v>
      </c>
      <c r="AG151" s="29" t="s">
        <v>13</v>
      </c>
      <c r="AM151" s="34">
        <f>F151*AE151</f>
        <v>0</v>
      </c>
      <c r="AN151" s="34">
        <f>F151*AF151</f>
        <v>0</v>
      </c>
      <c r="AO151" s="35" t="s">
        <v>475</v>
      </c>
      <c r="AP151" s="35" t="s">
        <v>489</v>
      </c>
      <c r="AQ151" s="26" t="s">
        <v>491</v>
      </c>
      <c r="AS151" s="34">
        <f>AM151+AN151</f>
        <v>0</v>
      </c>
      <c r="AT151" s="34">
        <f>G151/(100-AU151)*100</f>
        <v>0</v>
      </c>
      <c r="AU151" s="34">
        <v>0</v>
      </c>
      <c r="AV151" s="34">
        <f>L151</f>
        <v>0.005653499999999999</v>
      </c>
    </row>
    <row r="152" spans="1:48" ht="12.75">
      <c r="A152" s="4" t="s">
        <v>115</v>
      </c>
      <c r="B152" s="4"/>
      <c r="C152" s="4" t="s">
        <v>248</v>
      </c>
      <c r="D152" s="4" t="s">
        <v>396</v>
      </c>
      <c r="E152" s="4" t="s">
        <v>414</v>
      </c>
      <c r="F152" s="17">
        <v>16.2</v>
      </c>
      <c r="G152" s="17">
        <v>0</v>
      </c>
      <c r="H152" s="17">
        <f>F152*AE152</f>
        <v>0</v>
      </c>
      <c r="I152" s="17">
        <f>J152-H152</f>
        <v>0</v>
      </c>
      <c r="J152" s="17">
        <f>F152*G152</f>
        <v>0</v>
      </c>
      <c r="K152" s="17">
        <v>0.00042</v>
      </c>
      <c r="L152" s="17">
        <f>F152*K152</f>
        <v>0.006804</v>
      </c>
      <c r="M152" s="29" t="s">
        <v>434</v>
      </c>
      <c r="P152" s="34">
        <f>IF(AG152="5",J152,0)</f>
        <v>0</v>
      </c>
      <c r="R152" s="34">
        <f>IF(AG152="1",H152,0)</f>
        <v>0</v>
      </c>
      <c r="S152" s="34">
        <f>IF(AG152="1",I152,0)</f>
        <v>0</v>
      </c>
      <c r="T152" s="34">
        <f>IF(AG152="7",H152,0)</f>
        <v>0</v>
      </c>
      <c r="U152" s="34">
        <f>IF(AG152="7",I152,0)</f>
        <v>0</v>
      </c>
      <c r="V152" s="34">
        <f>IF(AG152="2",H152,0)</f>
        <v>0</v>
      </c>
      <c r="W152" s="34">
        <f>IF(AG152="2",I152,0)</f>
        <v>0</v>
      </c>
      <c r="X152" s="34">
        <f>IF(AG152="0",J152,0)</f>
        <v>0</v>
      </c>
      <c r="Y152" s="26"/>
      <c r="Z152" s="17">
        <f>IF(AD152=0,J152,0)</f>
        <v>0</v>
      </c>
      <c r="AA152" s="17">
        <f>IF(AD152=15,J152,0)</f>
        <v>0</v>
      </c>
      <c r="AB152" s="17">
        <f>IF(AD152=21,J152,0)</f>
        <v>0</v>
      </c>
      <c r="AD152" s="34">
        <v>21</v>
      </c>
      <c r="AE152" s="34">
        <f>G152*0.329111786558595</f>
        <v>0</v>
      </c>
      <c r="AF152" s="34">
        <f>G152*(1-0.329111786558595)</f>
        <v>0</v>
      </c>
      <c r="AG152" s="29" t="s">
        <v>13</v>
      </c>
      <c r="AM152" s="34">
        <f>F152*AE152</f>
        <v>0</v>
      </c>
      <c r="AN152" s="34">
        <f>F152*AF152</f>
        <v>0</v>
      </c>
      <c r="AO152" s="35" t="s">
        <v>475</v>
      </c>
      <c r="AP152" s="35" t="s">
        <v>489</v>
      </c>
      <c r="AQ152" s="26" t="s">
        <v>491</v>
      </c>
      <c r="AS152" s="34">
        <f>AM152+AN152</f>
        <v>0</v>
      </c>
      <c r="AT152" s="34">
        <f>G152/(100-AU152)*100</f>
        <v>0</v>
      </c>
      <c r="AU152" s="34">
        <v>0</v>
      </c>
      <c r="AV152" s="34">
        <f>L152</f>
        <v>0.006804</v>
      </c>
    </row>
    <row r="153" spans="1:37" ht="12.75">
      <c r="A153" s="5"/>
      <c r="B153" s="13"/>
      <c r="C153" s="13" t="s">
        <v>99</v>
      </c>
      <c r="D153" s="92" t="s">
        <v>397</v>
      </c>
      <c r="E153" s="93"/>
      <c r="F153" s="93"/>
      <c r="G153" s="93"/>
      <c r="H153" s="37">
        <f>SUM(H154:H154)</f>
        <v>0</v>
      </c>
      <c r="I153" s="37">
        <f>SUM(I154:I154)</f>
        <v>0</v>
      </c>
      <c r="J153" s="37">
        <f>H153+I153</f>
        <v>0</v>
      </c>
      <c r="K153" s="26"/>
      <c r="L153" s="37">
        <f>SUM(L154:L154)</f>
        <v>1.2744900000000001</v>
      </c>
      <c r="M153" s="26"/>
      <c r="Y153" s="26"/>
      <c r="AI153" s="37">
        <f>SUM(Z154:Z154)</f>
        <v>0</v>
      </c>
      <c r="AJ153" s="37">
        <f>SUM(AA154:AA154)</f>
        <v>0</v>
      </c>
      <c r="AK153" s="37">
        <f>SUM(AB154:AB154)</f>
        <v>0</v>
      </c>
    </row>
    <row r="154" spans="1:48" ht="12.75">
      <c r="A154" s="4" t="s">
        <v>116</v>
      </c>
      <c r="B154" s="4"/>
      <c r="C154" s="4" t="s">
        <v>249</v>
      </c>
      <c r="D154" s="4" t="s">
        <v>398</v>
      </c>
      <c r="E154" s="4" t="s">
        <v>413</v>
      </c>
      <c r="F154" s="17">
        <v>7</v>
      </c>
      <c r="G154" s="17">
        <v>0</v>
      </c>
      <c r="H154" s="17">
        <f>F154*AE154</f>
        <v>0</v>
      </c>
      <c r="I154" s="17">
        <f>J154-H154</f>
        <v>0</v>
      </c>
      <c r="J154" s="17">
        <f>F154*G154</f>
        <v>0</v>
      </c>
      <c r="K154" s="17">
        <v>0.18207</v>
      </c>
      <c r="L154" s="17">
        <f>F154*K154</f>
        <v>1.2744900000000001</v>
      </c>
      <c r="M154" s="29" t="s">
        <v>434</v>
      </c>
      <c r="P154" s="34">
        <f>IF(AG154="5",J154,0)</f>
        <v>0</v>
      </c>
      <c r="R154" s="34">
        <f>IF(AG154="1",H154,0)</f>
        <v>0</v>
      </c>
      <c r="S154" s="34">
        <f>IF(AG154="1",I154,0)</f>
        <v>0</v>
      </c>
      <c r="T154" s="34">
        <f>IF(AG154="7",H154,0)</f>
        <v>0</v>
      </c>
      <c r="U154" s="34">
        <f>IF(AG154="7",I154,0)</f>
        <v>0</v>
      </c>
      <c r="V154" s="34">
        <f>IF(AG154="2",H154,0)</f>
        <v>0</v>
      </c>
      <c r="W154" s="34">
        <f>IF(AG154="2",I154,0)</f>
        <v>0</v>
      </c>
      <c r="X154" s="34">
        <f>IF(AG154="0",J154,0)</f>
        <v>0</v>
      </c>
      <c r="Y154" s="26"/>
      <c r="Z154" s="17">
        <f>IF(AD154=0,J154,0)</f>
        <v>0</v>
      </c>
      <c r="AA154" s="17">
        <f>IF(AD154=15,J154,0)</f>
        <v>0</v>
      </c>
      <c r="AB154" s="17">
        <f>IF(AD154=21,J154,0)</f>
        <v>0</v>
      </c>
      <c r="AD154" s="34">
        <v>21</v>
      </c>
      <c r="AE154" s="34">
        <f>G154*0.674688098686977</f>
        <v>0</v>
      </c>
      <c r="AF154" s="34">
        <f>G154*(1-0.674688098686977)</f>
        <v>0</v>
      </c>
      <c r="AG154" s="29" t="s">
        <v>7</v>
      </c>
      <c r="AM154" s="34">
        <f>F154*AE154</f>
        <v>0</v>
      </c>
      <c r="AN154" s="34">
        <f>F154*AF154</f>
        <v>0</v>
      </c>
      <c r="AO154" s="35" t="s">
        <v>476</v>
      </c>
      <c r="AP154" s="35" t="s">
        <v>490</v>
      </c>
      <c r="AQ154" s="26" t="s">
        <v>491</v>
      </c>
      <c r="AS154" s="34">
        <f>AM154+AN154</f>
        <v>0</v>
      </c>
      <c r="AT154" s="34">
        <f>G154/(100-AU154)*100</f>
        <v>0</v>
      </c>
      <c r="AU154" s="34">
        <v>0</v>
      </c>
      <c r="AV154" s="34">
        <f>L154</f>
        <v>1.2744900000000001</v>
      </c>
    </row>
    <row r="155" spans="1:37" ht="12.75">
      <c r="A155" s="5"/>
      <c r="B155" s="13"/>
      <c r="C155" s="13" t="s">
        <v>100</v>
      </c>
      <c r="D155" s="92" t="s">
        <v>399</v>
      </c>
      <c r="E155" s="93"/>
      <c r="F155" s="93"/>
      <c r="G155" s="93"/>
      <c r="H155" s="37">
        <f>SUM(H156:H158)</f>
        <v>0</v>
      </c>
      <c r="I155" s="37">
        <f>SUM(I156:I158)</f>
        <v>0</v>
      </c>
      <c r="J155" s="37">
        <f>H155+I155</f>
        <v>0</v>
      </c>
      <c r="K155" s="26"/>
      <c r="L155" s="37">
        <f>SUM(L156:L158)</f>
        <v>0.3725971</v>
      </c>
      <c r="M155" s="26"/>
      <c r="Y155" s="26"/>
      <c r="AI155" s="37">
        <f>SUM(Z156:Z158)</f>
        <v>0</v>
      </c>
      <c r="AJ155" s="37">
        <f>SUM(AA156:AA158)</f>
        <v>0</v>
      </c>
      <c r="AK155" s="37">
        <f>SUM(AB156:AB158)</f>
        <v>0</v>
      </c>
    </row>
    <row r="156" spans="1:48" ht="12.75">
      <c r="A156" s="4" t="s">
        <v>117</v>
      </c>
      <c r="B156" s="4"/>
      <c r="C156" s="4" t="s">
        <v>250</v>
      </c>
      <c r="D156" s="4" t="s">
        <v>400</v>
      </c>
      <c r="E156" s="4" t="s">
        <v>414</v>
      </c>
      <c r="F156" s="17">
        <v>18</v>
      </c>
      <c r="G156" s="17">
        <v>0</v>
      </c>
      <c r="H156" s="17">
        <f>F156*AE156</f>
        <v>0</v>
      </c>
      <c r="I156" s="17">
        <f>J156-H156</f>
        <v>0</v>
      </c>
      <c r="J156" s="17">
        <f>F156*G156</f>
        <v>0</v>
      </c>
      <c r="K156" s="17">
        <v>0.01838</v>
      </c>
      <c r="L156" s="17">
        <f>F156*K156</f>
        <v>0.33084</v>
      </c>
      <c r="M156" s="29" t="s">
        <v>434</v>
      </c>
      <c r="P156" s="34">
        <f>IF(AG156="5",J156,0)</f>
        <v>0</v>
      </c>
      <c r="R156" s="34">
        <f>IF(AG156="1",H156,0)</f>
        <v>0</v>
      </c>
      <c r="S156" s="34">
        <f>IF(AG156="1",I156,0)</f>
        <v>0</v>
      </c>
      <c r="T156" s="34">
        <f>IF(AG156="7",H156,0)</f>
        <v>0</v>
      </c>
      <c r="U156" s="34">
        <f>IF(AG156="7",I156,0)</f>
        <v>0</v>
      </c>
      <c r="V156" s="34">
        <f>IF(AG156="2",H156,0)</f>
        <v>0</v>
      </c>
      <c r="W156" s="34">
        <f>IF(AG156="2",I156,0)</f>
        <v>0</v>
      </c>
      <c r="X156" s="34">
        <f>IF(AG156="0",J156,0)</f>
        <v>0</v>
      </c>
      <c r="Y156" s="26"/>
      <c r="Z156" s="17">
        <f>IF(AD156=0,J156,0)</f>
        <v>0</v>
      </c>
      <c r="AA156" s="17">
        <f>IF(AD156=15,J156,0)</f>
        <v>0</v>
      </c>
      <c r="AB156" s="17">
        <f>IF(AD156=21,J156,0)</f>
        <v>0</v>
      </c>
      <c r="AD156" s="34">
        <v>21</v>
      </c>
      <c r="AE156" s="34">
        <f>G156*0.000458715596330275</f>
        <v>0</v>
      </c>
      <c r="AF156" s="34">
        <f>G156*(1-0.000458715596330275)</f>
        <v>0</v>
      </c>
      <c r="AG156" s="29" t="s">
        <v>7</v>
      </c>
      <c r="AM156" s="34">
        <f>F156*AE156</f>
        <v>0</v>
      </c>
      <c r="AN156" s="34">
        <f>F156*AF156</f>
        <v>0</v>
      </c>
      <c r="AO156" s="35" t="s">
        <v>477</v>
      </c>
      <c r="AP156" s="35" t="s">
        <v>490</v>
      </c>
      <c r="AQ156" s="26" t="s">
        <v>491</v>
      </c>
      <c r="AS156" s="34">
        <f>AM156+AN156</f>
        <v>0</v>
      </c>
      <c r="AT156" s="34">
        <f>G156/(100-AU156)*100</f>
        <v>0</v>
      </c>
      <c r="AU156" s="34">
        <v>0</v>
      </c>
      <c r="AV156" s="34">
        <f>L156</f>
        <v>0.33084</v>
      </c>
    </row>
    <row r="157" spans="1:48" ht="12.75">
      <c r="A157" s="4" t="s">
        <v>118</v>
      </c>
      <c r="B157" s="4"/>
      <c r="C157" s="4" t="s">
        <v>251</v>
      </c>
      <c r="D157" s="4" t="s">
        <v>401</v>
      </c>
      <c r="E157" s="4" t="s">
        <v>414</v>
      </c>
      <c r="F157" s="17">
        <v>18</v>
      </c>
      <c r="G157" s="17">
        <v>0</v>
      </c>
      <c r="H157" s="17">
        <f>F157*AE157</f>
        <v>0</v>
      </c>
      <c r="I157" s="17">
        <f>J157-H157</f>
        <v>0</v>
      </c>
      <c r="J157" s="17">
        <f>F157*G157</f>
        <v>0</v>
      </c>
      <c r="K157" s="17">
        <v>0</v>
      </c>
      <c r="L157" s="17">
        <f>F157*K157</f>
        <v>0</v>
      </c>
      <c r="M157" s="29" t="s">
        <v>434</v>
      </c>
      <c r="P157" s="34">
        <f>IF(AG157="5",J157,0)</f>
        <v>0</v>
      </c>
      <c r="R157" s="34">
        <f>IF(AG157="1",H157,0)</f>
        <v>0</v>
      </c>
      <c r="S157" s="34">
        <f>IF(AG157="1",I157,0)</f>
        <v>0</v>
      </c>
      <c r="T157" s="34">
        <f>IF(AG157="7",H157,0)</f>
        <v>0</v>
      </c>
      <c r="U157" s="34">
        <f>IF(AG157="7",I157,0)</f>
        <v>0</v>
      </c>
      <c r="V157" s="34">
        <f>IF(AG157="2",H157,0)</f>
        <v>0</v>
      </c>
      <c r="W157" s="34">
        <f>IF(AG157="2",I157,0)</f>
        <v>0</v>
      </c>
      <c r="X157" s="34">
        <f>IF(AG157="0",J157,0)</f>
        <v>0</v>
      </c>
      <c r="Y157" s="26"/>
      <c r="Z157" s="17">
        <f>IF(AD157=0,J157,0)</f>
        <v>0</v>
      </c>
      <c r="AA157" s="17">
        <f>IF(AD157=15,J157,0)</f>
        <v>0</v>
      </c>
      <c r="AB157" s="17">
        <f>IF(AD157=21,J157,0)</f>
        <v>0</v>
      </c>
      <c r="AD157" s="34">
        <v>21</v>
      </c>
      <c r="AE157" s="34">
        <f>G157*0</f>
        <v>0</v>
      </c>
      <c r="AF157" s="34">
        <f>G157*(1-0)</f>
        <v>0</v>
      </c>
      <c r="AG157" s="29" t="s">
        <v>7</v>
      </c>
      <c r="AM157" s="34">
        <f>F157*AE157</f>
        <v>0</v>
      </c>
      <c r="AN157" s="34">
        <f>F157*AF157</f>
        <v>0</v>
      </c>
      <c r="AO157" s="35" t="s">
        <v>477</v>
      </c>
      <c r="AP157" s="35" t="s">
        <v>490</v>
      </c>
      <c r="AQ157" s="26" t="s">
        <v>491</v>
      </c>
      <c r="AS157" s="34">
        <f>AM157+AN157</f>
        <v>0</v>
      </c>
      <c r="AT157" s="34">
        <f>G157/(100-AU157)*100</f>
        <v>0</v>
      </c>
      <c r="AU157" s="34">
        <v>0</v>
      </c>
      <c r="AV157" s="34">
        <f>L157</f>
        <v>0</v>
      </c>
    </row>
    <row r="158" spans="1:48" ht="12.75">
      <c r="A158" s="4" t="s">
        <v>119</v>
      </c>
      <c r="B158" s="4"/>
      <c r="C158" s="4" t="s">
        <v>252</v>
      </c>
      <c r="D158" s="4" t="s">
        <v>402</v>
      </c>
      <c r="E158" s="4" t="s">
        <v>414</v>
      </c>
      <c r="F158" s="17">
        <v>34.51</v>
      </c>
      <c r="G158" s="17">
        <v>0</v>
      </c>
      <c r="H158" s="17">
        <f>F158*AE158</f>
        <v>0</v>
      </c>
      <c r="I158" s="17">
        <f>J158-H158</f>
        <v>0</v>
      </c>
      <c r="J158" s="17">
        <f>F158*G158</f>
        <v>0</v>
      </c>
      <c r="K158" s="17">
        <v>0.00121</v>
      </c>
      <c r="L158" s="17">
        <f>F158*K158</f>
        <v>0.04175709999999999</v>
      </c>
      <c r="M158" s="29" t="s">
        <v>434</v>
      </c>
      <c r="P158" s="34">
        <f>IF(AG158="5",J158,0)</f>
        <v>0</v>
      </c>
      <c r="R158" s="34">
        <f>IF(AG158="1",H158,0)</f>
        <v>0</v>
      </c>
      <c r="S158" s="34">
        <f>IF(AG158="1",I158,0)</f>
        <v>0</v>
      </c>
      <c r="T158" s="34">
        <f>IF(AG158="7",H158,0)</f>
        <v>0</v>
      </c>
      <c r="U158" s="34">
        <f>IF(AG158="7",I158,0)</f>
        <v>0</v>
      </c>
      <c r="V158" s="34">
        <f>IF(AG158="2",H158,0)</f>
        <v>0</v>
      </c>
      <c r="W158" s="34">
        <f>IF(AG158="2",I158,0)</f>
        <v>0</v>
      </c>
      <c r="X158" s="34">
        <f>IF(AG158="0",J158,0)</f>
        <v>0</v>
      </c>
      <c r="Y158" s="26"/>
      <c r="Z158" s="17">
        <f>IF(AD158=0,J158,0)</f>
        <v>0</v>
      </c>
      <c r="AA158" s="17">
        <f>IF(AD158=15,J158,0)</f>
        <v>0</v>
      </c>
      <c r="AB158" s="17">
        <f>IF(AD158=21,J158,0)</f>
        <v>0</v>
      </c>
      <c r="AD158" s="34">
        <v>21</v>
      </c>
      <c r="AE158" s="34">
        <f>G158*0.420365853658537</f>
        <v>0</v>
      </c>
      <c r="AF158" s="34">
        <f>G158*(1-0.420365853658537)</f>
        <v>0</v>
      </c>
      <c r="AG158" s="29" t="s">
        <v>7</v>
      </c>
      <c r="AM158" s="34">
        <f>F158*AE158</f>
        <v>0</v>
      </c>
      <c r="AN158" s="34">
        <f>F158*AF158</f>
        <v>0</v>
      </c>
      <c r="AO158" s="35" t="s">
        <v>477</v>
      </c>
      <c r="AP158" s="35" t="s">
        <v>490</v>
      </c>
      <c r="AQ158" s="26" t="s">
        <v>491</v>
      </c>
      <c r="AS158" s="34">
        <f>AM158+AN158</f>
        <v>0</v>
      </c>
      <c r="AT158" s="34">
        <f>G158/(100-AU158)*100</f>
        <v>0</v>
      </c>
      <c r="AU158" s="34">
        <v>0</v>
      </c>
      <c r="AV158" s="34">
        <f>L158</f>
        <v>0.04175709999999999</v>
      </c>
    </row>
    <row r="159" spans="1:37" ht="12.75">
      <c r="A159" s="5"/>
      <c r="B159" s="13"/>
      <c r="C159" s="13" t="s">
        <v>101</v>
      </c>
      <c r="D159" s="92" t="s">
        <v>403</v>
      </c>
      <c r="E159" s="93"/>
      <c r="F159" s="93"/>
      <c r="G159" s="93"/>
      <c r="H159" s="37">
        <f>SUM(H160:H160)</f>
        <v>0</v>
      </c>
      <c r="I159" s="37">
        <f>SUM(I160:I160)</f>
        <v>0</v>
      </c>
      <c r="J159" s="37">
        <f>H159+I159</f>
        <v>0</v>
      </c>
      <c r="K159" s="26"/>
      <c r="L159" s="37">
        <f>SUM(L160:L160)</f>
        <v>0.0013804</v>
      </c>
      <c r="M159" s="26"/>
      <c r="Y159" s="26"/>
      <c r="AI159" s="37">
        <f>SUM(Z160:Z160)</f>
        <v>0</v>
      </c>
      <c r="AJ159" s="37">
        <f>SUM(AA160:AA160)</f>
        <v>0</v>
      </c>
      <c r="AK159" s="37">
        <f>SUM(AB160:AB160)</f>
        <v>0</v>
      </c>
    </row>
    <row r="160" spans="1:48" ht="12.75">
      <c r="A160" s="4" t="s">
        <v>120</v>
      </c>
      <c r="B160" s="4"/>
      <c r="C160" s="4" t="s">
        <v>253</v>
      </c>
      <c r="D160" s="4" t="s">
        <v>404</v>
      </c>
      <c r="E160" s="4" t="s">
        <v>414</v>
      </c>
      <c r="F160" s="17">
        <v>34.51</v>
      </c>
      <c r="G160" s="17">
        <v>0</v>
      </c>
      <c r="H160" s="17">
        <f>F160*AE160</f>
        <v>0</v>
      </c>
      <c r="I160" s="17">
        <f>J160-H160</f>
        <v>0</v>
      </c>
      <c r="J160" s="17">
        <f>F160*G160</f>
        <v>0</v>
      </c>
      <c r="K160" s="17">
        <v>4E-05</v>
      </c>
      <c r="L160" s="17">
        <f>F160*K160</f>
        <v>0.0013804</v>
      </c>
      <c r="M160" s="29" t="s">
        <v>434</v>
      </c>
      <c r="P160" s="34">
        <f>IF(AG160="5",J160,0)</f>
        <v>0</v>
      </c>
      <c r="R160" s="34">
        <f>IF(AG160="1",H160,0)</f>
        <v>0</v>
      </c>
      <c r="S160" s="34">
        <f>IF(AG160="1",I160,0)</f>
        <v>0</v>
      </c>
      <c r="T160" s="34">
        <f>IF(AG160="7",H160,0)</f>
        <v>0</v>
      </c>
      <c r="U160" s="34">
        <f>IF(AG160="7",I160,0)</f>
        <v>0</v>
      </c>
      <c r="V160" s="34">
        <f>IF(AG160="2",H160,0)</f>
        <v>0</v>
      </c>
      <c r="W160" s="34">
        <f>IF(AG160="2",I160,0)</f>
        <v>0</v>
      </c>
      <c r="X160" s="34">
        <f>IF(AG160="0",J160,0)</f>
        <v>0</v>
      </c>
      <c r="Y160" s="26"/>
      <c r="Z160" s="17">
        <f>IF(AD160=0,J160,0)</f>
        <v>0</v>
      </c>
      <c r="AA160" s="17">
        <f>IF(AD160=15,J160,0)</f>
        <v>0</v>
      </c>
      <c r="AB160" s="17">
        <f>IF(AD160=21,J160,0)</f>
        <v>0</v>
      </c>
      <c r="AD160" s="34">
        <v>21</v>
      </c>
      <c r="AE160" s="34">
        <f>G160*0.0183098591549296</f>
        <v>0</v>
      </c>
      <c r="AF160" s="34">
        <f>G160*(1-0.0183098591549296)</f>
        <v>0</v>
      </c>
      <c r="AG160" s="29" t="s">
        <v>7</v>
      </c>
      <c r="AM160" s="34">
        <f>F160*AE160</f>
        <v>0</v>
      </c>
      <c r="AN160" s="34">
        <f>F160*AF160</f>
        <v>0</v>
      </c>
      <c r="AO160" s="35" t="s">
        <v>478</v>
      </c>
      <c r="AP160" s="35" t="s">
        <v>490</v>
      </c>
      <c r="AQ160" s="26" t="s">
        <v>491</v>
      </c>
      <c r="AS160" s="34">
        <f>AM160+AN160</f>
        <v>0</v>
      </c>
      <c r="AT160" s="34">
        <f>G160/(100-AU160)*100</f>
        <v>0</v>
      </c>
      <c r="AU160" s="34">
        <v>0</v>
      </c>
      <c r="AV160" s="34">
        <f>L160</f>
        <v>0.0013804</v>
      </c>
    </row>
    <row r="161" spans="1:37" ht="12.75">
      <c r="A161" s="5"/>
      <c r="B161" s="13"/>
      <c r="C161" s="13" t="s">
        <v>104</v>
      </c>
      <c r="D161" s="92" t="s">
        <v>405</v>
      </c>
      <c r="E161" s="93"/>
      <c r="F161" s="93"/>
      <c r="G161" s="93"/>
      <c r="H161" s="37">
        <f>SUM(H162:H162)</f>
        <v>0</v>
      </c>
      <c r="I161" s="37">
        <f>SUM(I162:I162)</f>
        <v>0</v>
      </c>
      <c r="J161" s="37">
        <f>H161+I161</f>
        <v>0</v>
      </c>
      <c r="K161" s="26"/>
      <c r="L161" s="37">
        <f>SUM(L162:L162)</f>
        <v>59.474514600000006</v>
      </c>
      <c r="M161" s="26"/>
      <c r="Y161" s="26"/>
      <c r="AI161" s="37">
        <f>SUM(Z162:Z162)</f>
        <v>0</v>
      </c>
      <c r="AJ161" s="37">
        <f>SUM(AA162:AA162)</f>
        <v>0</v>
      </c>
      <c r="AK161" s="37">
        <f>SUM(AB162:AB162)</f>
        <v>0</v>
      </c>
    </row>
    <row r="162" spans="1:48" ht="12.75">
      <c r="A162" s="7" t="s">
        <v>121</v>
      </c>
      <c r="B162" s="7"/>
      <c r="C162" s="7" t="s">
        <v>254</v>
      </c>
      <c r="D162" s="7" t="s">
        <v>406</v>
      </c>
      <c r="E162" s="7" t="s">
        <v>412</v>
      </c>
      <c r="F162" s="19">
        <v>169.53</v>
      </c>
      <c r="G162" s="19">
        <v>0</v>
      </c>
      <c r="H162" s="19">
        <f>F162*AE162</f>
        <v>0</v>
      </c>
      <c r="I162" s="19">
        <f>J162-H162</f>
        <v>0</v>
      </c>
      <c r="J162" s="19">
        <f>F162*G162</f>
        <v>0</v>
      </c>
      <c r="K162" s="19">
        <v>0.35082</v>
      </c>
      <c r="L162" s="19">
        <f>F162*K162</f>
        <v>59.474514600000006</v>
      </c>
      <c r="M162" s="31" t="s">
        <v>434</v>
      </c>
      <c r="P162" s="34">
        <f>IF(AG162="5",J162,0)</f>
        <v>0</v>
      </c>
      <c r="R162" s="34">
        <f>IF(AG162="1",H162,0)</f>
        <v>0</v>
      </c>
      <c r="S162" s="34">
        <f>IF(AG162="1",I162,0)</f>
        <v>0</v>
      </c>
      <c r="T162" s="34">
        <f>IF(AG162="7",H162,0)</f>
        <v>0</v>
      </c>
      <c r="U162" s="34">
        <f>IF(AG162="7",I162,0)</f>
        <v>0</v>
      </c>
      <c r="V162" s="34">
        <f>IF(AG162="2",H162,0)</f>
        <v>0</v>
      </c>
      <c r="W162" s="34">
        <f>IF(AG162="2",I162,0)</f>
        <v>0</v>
      </c>
      <c r="X162" s="34">
        <f>IF(AG162="0",J162,0)</f>
        <v>0</v>
      </c>
      <c r="Y162" s="26"/>
      <c r="Z162" s="17">
        <f>IF(AD162=0,J162,0)</f>
        <v>0</v>
      </c>
      <c r="AA162" s="17">
        <f>IF(AD162=15,J162,0)</f>
        <v>0</v>
      </c>
      <c r="AB162" s="17">
        <f>IF(AD162=21,J162,0)</f>
        <v>0</v>
      </c>
      <c r="AD162" s="34">
        <v>21</v>
      </c>
      <c r="AE162" s="34">
        <f>G162*0.0275241675617615</f>
        <v>0</v>
      </c>
      <c r="AF162" s="34">
        <f>G162*(1-0.0275241675617615)</f>
        <v>0</v>
      </c>
      <c r="AG162" s="29" t="s">
        <v>7</v>
      </c>
      <c r="AM162" s="34">
        <f>F162*AE162</f>
        <v>0</v>
      </c>
      <c r="AN162" s="34">
        <f>F162*AF162</f>
        <v>0</v>
      </c>
      <c r="AO162" s="35" t="s">
        <v>479</v>
      </c>
      <c r="AP162" s="35" t="s">
        <v>490</v>
      </c>
      <c r="AQ162" s="26" t="s">
        <v>491</v>
      </c>
      <c r="AS162" s="34">
        <f>AM162+AN162</f>
        <v>0</v>
      </c>
      <c r="AT162" s="34">
        <f>G162/(100-AU162)*100</f>
        <v>0</v>
      </c>
      <c r="AU162" s="34">
        <v>0</v>
      </c>
      <c r="AV162" s="34">
        <f>L162</f>
        <v>59.474514600000006</v>
      </c>
    </row>
    <row r="163" spans="1:13" ht="12.75">
      <c r="A163" s="8"/>
      <c r="B163" s="8"/>
      <c r="C163" s="8"/>
      <c r="D163" s="8"/>
      <c r="E163" s="8"/>
      <c r="F163" s="8"/>
      <c r="G163" s="8"/>
      <c r="H163" s="94" t="s">
        <v>424</v>
      </c>
      <c r="I163" s="95"/>
      <c r="J163" s="38">
        <f>J12+J14+J17+J19+J21+J23+J27+J34+J37+J39+J45+J47+J51+J55+J59+J63+J67+J72+J81+J84+J86+J91+J93+J108+J112+J121+J123+J129+J135+J142+J144+J149+J153+J155+J159+J161</f>
        <v>0</v>
      </c>
      <c r="K163" s="8"/>
      <c r="L163" s="8"/>
      <c r="M163" s="8"/>
    </row>
    <row r="164" ht="11.25" customHeight="1">
      <c r="A164" s="9" t="s">
        <v>122</v>
      </c>
    </row>
    <row r="165" spans="1:13" ht="409.5" customHeight="1" hidden="1">
      <c r="A165" s="8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</sheetData>
  <sheetProtection/>
  <mergeCells count="65">
    <mergeCell ref="D159:G159"/>
    <mergeCell ref="D161:G161"/>
    <mergeCell ref="H163:I163"/>
    <mergeCell ref="A165:M165"/>
    <mergeCell ref="D135:G135"/>
    <mergeCell ref="D142:G142"/>
    <mergeCell ref="D144:G144"/>
    <mergeCell ref="D149:G149"/>
    <mergeCell ref="D153:G153"/>
    <mergeCell ref="D155:G155"/>
    <mergeCell ref="D93:G93"/>
    <mergeCell ref="D108:G108"/>
    <mergeCell ref="D112:G112"/>
    <mergeCell ref="D121:G121"/>
    <mergeCell ref="D123:G123"/>
    <mergeCell ref="D129:G129"/>
    <mergeCell ref="D67:G67"/>
    <mergeCell ref="D72:G72"/>
    <mergeCell ref="D81:G81"/>
    <mergeCell ref="D84:G84"/>
    <mergeCell ref="D86:G86"/>
    <mergeCell ref="D91:G91"/>
    <mergeCell ref="D45:G45"/>
    <mergeCell ref="D47:G47"/>
    <mergeCell ref="D51:G51"/>
    <mergeCell ref="D55:G55"/>
    <mergeCell ref="D59:G59"/>
    <mergeCell ref="D63:G63"/>
    <mergeCell ref="D21:G21"/>
    <mergeCell ref="D23:G23"/>
    <mergeCell ref="D27:G27"/>
    <mergeCell ref="D34:G34"/>
    <mergeCell ref="D37:G37"/>
    <mergeCell ref="D39:G39"/>
    <mergeCell ref="H10:J10"/>
    <mergeCell ref="K10:L10"/>
    <mergeCell ref="D12:G12"/>
    <mergeCell ref="D14:G14"/>
    <mergeCell ref="D17:G17"/>
    <mergeCell ref="D19:G19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45" sqref="D45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75" customHeight="1">
      <c r="A1" s="68" t="s">
        <v>492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2.75">
      <c r="A2" s="70" t="s">
        <v>1</v>
      </c>
      <c r="B2" s="71"/>
      <c r="C2" s="71"/>
      <c r="D2" s="74" t="s">
        <v>255</v>
      </c>
      <c r="E2" s="76" t="s">
        <v>407</v>
      </c>
      <c r="F2" s="71"/>
      <c r="G2" s="76"/>
      <c r="H2" s="71"/>
      <c r="I2" s="77" t="s">
        <v>425</v>
      </c>
      <c r="J2" s="77"/>
      <c r="K2" s="71"/>
      <c r="L2" s="78"/>
      <c r="M2" s="32"/>
    </row>
    <row r="3" spans="1:13" ht="12.75">
      <c r="A3" s="72"/>
      <c r="B3" s="73"/>
      <c r="C3" s="73"/>
      <c r="D3" s="75"/>
      <c r="E3" s="73"/>
      <c r="F3" s="73"/>
      <c r="G3" s="73"/>
      <c r="H3" s="73"/>
      <c r="I3" s="73"/>
      <c r="J3" s="73"/>
      <c r="K3" s="73"/>
      <c r="L3" s="79"/>
      <c r="M3" s="32"/>
    </row>
    <row r="4" spans="1:13" ht="12.75">
      <c r="A4" s="80" t="s">
        <v>2</v>
      </c>
      <c r="B4" s="73"/>
      <c r="C4" s="73"/>
      <c r="D4" s="81" t="s">
        <v>256</v>
      </c>
      <c r="E4" s="82" t="s">
        <v>408</v>
      </c>
      <c r="F4" s="73"/>
      <c r="G4" s="83">
        <v>42506</v>
      </c>
      <c r="H4" s="73"/>
      <c r="I4" s="81" t="s">
        <v>426</v>
      </c>
      <c r="J4" s="81"/>
      <c r="K4" s="73"/>
      <c r="L4" s="79"/>
      <c r="M4" s="32"/>
    </row>
    <row r="5" spans="1:13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9"/>
      <c r="M5" s="32"/>
    </row>
    <row r="6" spans="1:13" ht="12.75">
      <c r="A6" s="80" t="s">
        <v>3</v>
      </c>
      <c r="B6" s="73"/>
      <c r="C6" s="73"/>
      <c r="D6" s="81"/>
      <c r="E6" s="82" t="s">
        <v>409</v>
      </c>
      <c r="F6" s="73"/>
      <c r="G6" s="73"/>
      <c r="H6" s="73"/>
      <c r="I6" s="81" t="s">
        <v>427</v>
      </c>
      <c r="J6" s="81"/>
      <c r="K6" s="73"/>
      <c r="L6" s="79"/>
      <c r="M6" s="32"/>
    </row>
    <row r="7" spans="1:13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9"/>
      <c r="M7" s="32"/>
    </row>
    <row r="8" spans="1:13" ht="12.75">
      <c r="A8" s="80" t="s">
        <v>4</v>
      </c>
      <c r="B8" s="73"/>
      <c r="C8" s="73"/>
      <c r="D8" s="81"/>
      <c r="E8" s="82" t="s">
        <v>410</v>
      </c>
      <c r="F8" s="73"/>
      <c r="G8" s="83">
        <v>42506</v>
      </c>
      <c r="H8" s="73"/>
      <c r="I8" s="81" t="s">
        <v>428</v>
      </c>
      <c r="J8" s="81"/>
      <c r="K8" s="73"/>
      <c r="L8" s="79"/>
      <c r="M8" s="32"/>
    </row>
    <row r="9" spans="1:13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M9" s="32"/>
    </row>
    <row r="10" spans="1:13" ht="12.75">
      <c r="A10" s="39" t="s">
        <v>6</v>
      </c>
      <c r="B10" s="39" t="s">
        <v>6</v>
      </c>
      <c r="C10" s="96" t="s">
        <v>6</v>
      </c>
      <c r="D10" s="97"/>
      <c r="E10" s="97"/>
      <c r="F10" s="97"/>
      <c r="G10" s="97"/>
      <c r="H10" s="98"/>
      <c r="I10" s="87" t="s">
        <v>422</v>
      </c>
      <c r="J10" s="88"/>
      <c r="K10" s="89"/>
      <c r="L10" s="45" t="s">
        <v>431</v>
      </c>
      <c r="M10" s="33"/>
    </row>
    <row r="11" spans="1:13" ht="12.75">
      <c r="A11" s="14" t="s">
        <v>123</v>
      </c>
      <c r="B11" s="14" t="s">
        <v>124</v>
      </c>
      <c r="C11" s="99" t="s">
        <v>257</v>
      </c>
      <c r="D11" s="100"/>
      <c r="E11" s="100"/>
      <c r="F11" s="100"/>
      <c r="G11" s="100"/>
      <c r="H11" s="101"/>
      <c r="I11" s="22" t="s">
        <v>423</v>
      </c>
      <c r="J11" s="23" t="s">
        <v>429</v>
      </c>
      <c r="K11" s="23" t="s">
        <v>430</v>
      </c>
      <c r="L11" s="24" t="s">
        <v>430</v>
      </c>
      <c r="M11" s="33"/>
    </row>
    <row r="12" spans="1:14" ht="12.75">
      <c r="A12" s="40"/>
      <c r="B12" s="40" t="s">
        <v>7</v>
      </c>
      <c r="C12" s="102" t="s">
        <v>493</v>
      </c>
      <c r="D12" s="97"/>
      <c r="E12" s="97"/>
      <c r="F12" s="97"/>
      <c r="G12" s="97"/>
      <c r="H12" s="97"/>
      <c r="I12" s="43">
        <f>SUMIF('Stavební rozpočet'!AP13:AP162,"1_",'Stavební rozpočet'!AM13:AM162)</f>
        <v>0</v>
      </c>
      <c r="J12" s="43">
        <f>SUMIF('Stavební rozpočet'!AP13:AP162,"1_",'Stavební rozpočet'!AN13:AN162)</f>
        <v>0</v>
      </c>
      <c r="K12" s="43">
        <f aca="true" t="shared" si="0" ref="K12:K23">I12+J12</f>
        <v>0</v>
      </c>
      <c r="L12" s="43">
        <f>SUMIF('Stavební rozpočet'!AP13:AP162,"1_",'Stavební rozpočet'!AV13:AV162)</f>
        <v>0</v>
      </c>
      <c r="M12" s="34" t="s">
        <v>505</v>
      </c>
      <c r="N12" s="34">
        <f aca="true" t="shared" si="1" ref="N12:N23">IF(M12="F",0,K12)</f>
        <v>0</v>
      </c>
    </row>
    <row r="13" spans="1:14" ht="12.75">
      <c r="A13" s="15"/>
      <c r="B13" s="15" t="s">
        <v>8</v>
      </c>
      <c r="C13" s="82" t="s">
        <v>494</v>
      </c>
      <c r="D13" s="73"/>
      <c r="E13" s="73"/>
      <c r="F13" s="73"/>
      <c r="G13" s="73"/>
      <c r="H13" s="73"/>
      <c r="I13" s="34">
        <f>SUMIF('Stavební rozpočet'!AP13:AP162,"2_",'Stavební rozpočet'!AM13:AM162)</f>
        <v>0</v>
      </c>
      <c r="J13" s="34">
        <f>SUMIF('Stavební rozpočet'!AP13:AP162,"2_",'Stavební rozpočet'!AN13:AN162)</f>
        <v>0</v>
      </c>
      <c r="K13" s="34">
        <f t="shared" si="0"/>
        <v>0</v>
      </c>
      <c r="L13" s="34">
        <f>SUMIF('Stavební rozpočet'!AP13:AP162,"2_",'Stavební rozpočet'!AV13:AV162)</f>
        <v>47.785728399999996</v>
      </c>
      <c r="M13" s="34" t="s">
        <v>505</v>
      </c>
      <c r="N13" s="34">
        <f t="shared" si="1"/>
        <v>0</v>
      </c>
    </row>
    <row r="14" spans="1:14" ht="12.75">
      <c r="A14" s="15"/>
      <c r="B14" s="15" t="s">
        <v>9</v>
      </c>
      <c r="C14" s="82" t="s">
        <v>495</v>
      </c>
      <c r="D14" s="73"/>
      <c r="E14" s="73"/>
      <c r="F14" s="73"/>
      <c r="G14" s="73"/>
      <c r="H14" s="73"/>
      <c r="I14" s="34">
        <f>SUMIF('Stavební rozpočet'!AP13:AP162,"3_",'Stavební rozpočet'!AM13:AM162)</f>
        <v>0</v>
      </c>
      <c r="J14" s="34">
        <f>SUMIF('Stavební rozpočet'!AP13:AP162,"3_",'Stavební rozpočet'!AN13:AN162)</f>
        <v>0</v>
      </c>
      <c r="K14" s="34">
        <f t="shared" si="0"/>
        <v>0</v>
      </c>
      <c r="L14" s="34">
        <f>SUMIF('Stavební rozpočet'!AP13:AP162,"3_",'Stavební rozpočet'!AV13:AV162)</f>
        <v>21.9558758</v>
      </c>
      <c r="M14" s="34" t="s">
        <v>505</v>
      </c>
      <c r="N14" s="34">
        <f t="shared" si="1"/>
        <v>0</v>
      </c>
    </row>
    <row r="15" spans="1:14" ht="12.75">
      <c r="A15" s="15"/>
      <c r="B15" s="15" t="s">
        <v>10</v>
      </c>
      <c r="C15" s="82" t="s">
        <v>496</v>
      </c>
      <c r="D15" s="73"/>
      <c r="E15" s="73"/>
      <c r="F15" s="73"/>
      <c r="G15" s="73"/>
      <c r="H15" s="73"/>
      <c r="I15" s="34">
        <f>SUMIF('Stavební rozpočet'!AP13:AP162,"4_",'Stavební rozpočet'!AM13:AM162)</f>
        <v>0</v>
      </c>
      <c r="J15" s="34">
        <f>SUMIF('Stavební rozpočet'!AP13:AP162,"4_",'Stavební rozpočet'!AN13:AN162)</f>
        <v>0</v>
      </c>
      <c r="K15" s="34">
        <f t="shared" si="0"/>
        <v>0</v>
      </c>
      <c r="L15" s="34">
        <f>SUMIF('Stavební rozpočet'!AP13:AP162,"4_",'Stavební rozpočet'!AV13:AV162)</f>
        <v>4.7034887</v>
      </c>
      <c r="M15" s="34" t="s">
        <v>505</v>
      </c>
      <c r="N15" s="34">
        <f t="shared" si="1"/>
        <v>0</v>
      </c>
    </row>
    <row r="16" spans="1:14" ht="12.75">
      <c r="A16" s="15"/>
      <c r="B16" s="15" t="s">
        <v>12</v>
      </c>
      <c r="C16" s="82" t="s">
        <v>497</v>
      </c>
      <c r="D16" s="73"/>
      <c r="E16" s="73"/>
      <c r="F16" s="73"/>
      <c r="G16" s="73"/>
      <c r="H16" s="73"/>
      <c r="I16" s="34">
        <f>SUMIF('Stavební rozpočet'!AP13:AP162,"6_",'Stavební rozpočet'!AM13:AM162)</f>
        <v>0</v>
      </c>
      <c r="J16" s="34">
        <f>SUMIF('Stavební rozpočet'!AP13:AP162,"6_",'Stavební rozpočet'!AN13:AN162)</f>
        <v>0</v>
      </c>
      <c r="K16" s="34">
        <f t="shared" si="0"/>
        <v>0</v>
      </c>
      <c r="L16" s="34">
        <f>SUMIF('Stavební rozpočet'!AP13:AP162,"6_",'Stavební rozpočet'!AV13:AV162)</f>
        <v>9.087331699999998</v>
      </c>
      <c r="M16" s="34" t="s">
        <v>505</v>
      </c>
      <c r="N16" s="34">
        <f t="shared" si="1"/>
        <v>0</v>
      </c>
    </row>
    <row r="17" spans="1:14" ht="12.75">
      <c r="A17" s="15"/>
      <c r="B17" s="15" t="s">
        <v>77</v>
      </c>
      <c r="C17" s="82" t="s">
        <v>498</v>
      </c>
      <c r="D17" s="73"/>
      <c r="E17" s="73"/>
      <c r="F17" s="73"/>
      <c r="G17" s="73"/>
      <c r="H17" s="73"/>
      <c r="I17" s="34">
        <f>SUMIF('Stavební rozpočet'!AP13:AP162,"71_",'Stavební rozpočet'!AM13:AM162)</f>
        <v>0</v>
      </c>
      <c r="J17" s="34">
        <f>SUMIF('Stavební rozpočet'!AP13:AP162,"71_",'Stavební rozpočet'!AN13:AN162)</f>
        <v>0</v>
      </c>
      <c r="K17" s="34">
        <f t="shared" si="0"/>
        <v>0</v>
      </c>
      <c r="L17" s="34">
        <f>SUMIF('Stavební rozpočet'!AP13:AP162,"71_",'Stavební rozpočet'!AV13:AV162)</f>
        <v>0.8544068</v>
      </c>
      <c r="M17" s="34" t="s">
        <v>505</v>
      </c>
      <c r="N17" s="34">
        <f t="shared" si="1"/>
        <v>0</v>
      </c>
    </row>
    <row r="18" spans="1:14" ht="12.75">
      <c r="A18" s="15"/>
      <c r="B18" s="15" t="s">
        <v>78</v>
      </c>
      <c r="C18" s="82" t="s">
        <v>499</v>
      </c>
      <c r="D18" s="73"/>
      <c r="E18" s="73"/>
      <c r="F18" s="73"/>
      <c r="G18" s="73"/>
      <c r="H18" s="73"/>
      <c r="I18" s="34">
        <f>SUMIF('Stavební rozpočet'!AP13:AP162,"72_",'Stavební rozpočet'!AM13:AM162)</f>
        <v>0</v>
      </c>
      <c r="J18" s="34">
        <f>SUMIF('Stavební rozpočet'!AP13:AP162,"72_",'Stavební rozpočet'!AN13:AN162)</f>
        <v>0</v>
      </c>
      <c r="K18" s="34">
        <f t="shared" si="0"/>
        <v>0</v>
      </c>
      <c r="L18" s="34">
        <f>SUMIF('Stavební rozpočet'!AP13:AP162,"72_",'Stavební rozpočet'!AV13:AV162)</f>
        <v>1.11081</v>
      </c>
      <c r="M18" s="34" t="s">
        <v>505</v>
      </c>
      <c r="N18" s="34">
        <f t="shared" si="1"/>
        <v>0</v>
      </c>
    </row>
    <row r="19" spans="1:14" ht="12.75">
      <c r="A19" s="15"/>
      <c r="B19" s="15" t="s">
        <v>81</v>
      </c>
      <c r="C19" s="82" t="s">
        <v>500</v>
      </c>
      <c r="D19" s="73"/>
      <c r="E19" s="73"/>
      <c r="F19" s="73"/>
      <c r="G19" s="73"/>
      <c r="H19" s="73"/>
      <c r="I19" s="34">
        <f>SUMIF('Stavební rozpočet'!AP13:AP162,"75_",'Stavební rozpočet'!AM13:AM162)</f>
        <v>0</v>
      </c>
      <c r="J19" s="34">
        <f>SUMIF('Stavební rozpočet'!AP13:AP162,"75_",'Stavební rozpočet'!AN13:AN162)</f>
        <v>0</v>
      </c>
      <c r="K19" s="34">
        <f t="shared" si="0"/>
        <v>0</v>
      </c>
      <c r="L19" s="34">
        <f>SUMIF('Stavební rozpočet'!AP13:AP162,"75_",'Stavební rozpočet'!AV13:AV162)</f>
        <v>0</v>
      </c>
      <c r="M19" s="34" t="s">
        <v>505</v>
      </c>
      <c r="N19" s="34">
        <f t="shared" si="1"/>
        <v>0</v>
      </c>
    </row>
    <row r="20" spans="1:14" ht="12.75">
      <c r="A20" s="15"/>
      <c r="B20" s="15" t="s">
        <v>82</v>
      </c>
      <c r="C20" s="82" t="s">
        <v>501</v>
      </c>
      <c r="D20" s="73"/>
      <c r="E20" s="73"/>
      <c r="F20" s="73"/>
      <c r="G20" s="73"/>
      <c r="H20" s="73"/>
      <c r="I20" s="34">
        <f>SUMIF('Stavební rozpočet'!AP13:AP162,"76_",'Stavební rozpočet'!AM13:AM162)</f>
        <v>0</v>
      </c>
      <c r="J20" s="34">
        <f>SUMIF('Stavební rozpočet'!AP13:AP162,"76_",'Stavební rozpočet'!AN13:AN162)</f>
        <v>0</v>
      </c>
      <c r="K20" s="34">
        <f t="shared" si="0"/>
        <v>0</v>
      </c>
      <c r="L20" s="34">
        <f>SUMIF('Stavební rozpočet'!AP13:AP162,"76_",'Stavební rozpočet'!AV13:AV162)</f>
        <v>9.775233199999999</v>
      </c>
      <c r="M20" s="34" t="s">
        <v>505</v>
      </c>
      <c r="N20" s="34">
        <f t="shared" si="1"/>
        <v>0</v>
      </c>
    </row>
    <row r="21" spans="1:14" ht="12.75">
      <c r="A21" s="15"/>
      <c r="B21" s="15" t="s">
        <v>83</v>
      </c>
      <c r="C21" s="82" t="s">
        <v>502</v>
      </c>
      <c r="D21" s="73"/>
      <c r="E21" s="73"/>
      <c r="F21" s="73"/>
      <c r="G21" s="73"/>
      <c r="H21" s="73"/>
      <c r="I21" s="34">
        <f>SUMIF('Stavební rozpočet'!AP13:AP162,"77_",'Stavební rozpočet'!AM13:AM162)</f>
        <v>0</v>
      </c>
      <c r="J21" s="34">
        <f>SUMIF('Stavební rozpočet'!AP13:AP162,"77_",'Stavební rozpočet'!AN13:AN162)</f>
        <v>0</v>
      </c>
      <c r="K21" s="34">
        <f t="shared" si="0"/>
        <v>0</v>
      </c>
      <c r="L21" s="34">
        <f>SUMIF('Stavební rozpočet'!AP13:AP162,"77_",'Stavební rozpočet'!AV13:AV162)</f>
        <v>0.42614399999999997</v>
      </c>
      <c r="M21" s="34" t="s">
        <v>505</v>
      </c>
      <c r="N21" s="34">
        <f t="shared" si="1"/>
        <v>0</v>
      </c>
    </row>
    <row r="22" spans="1:14" ht="12.75">
      <c r="A22" s="15"/>
      <c r="B22" s="15" t="s">
        <v>84</v>
      </c>
      <c r="C22" s="82" t="s">
        <v>503</v>
      </c>
      <c r="D22" s="73"/>
      <c r="E22" s="73"/>
      <c r="F22" s="73"/>
      <c r="G22" s="73"/>
      <c r="H22" s="73"/>
      <c r="I22" s="34">
        <f>SUMIF('Stavební rozpočet'!AP13:AP162,"78_",'Stavební rozpočet'!AM13:AM162)</f>
        <v>0</v>
      </c>
      <c r="J22" s="34">
        <f>SUMIF('Stavební rozpočet'!AP13:AP162,"78_",'Stavební rozpočet'!AN13:AN162)</f>
        <v>0</v>
      </c>
      <c r="K22" s="34">
        <f t="shared" si="0"/>
        <v>0</v>
      </c>
      <c r="L22" s="34">
        <f>SUMIF('Stavební rozpočet'!AP13:AP162,"78_",'Stavební rozpočet'!AV13:AV162)</f>
        <v>0.27105899999999994</v>
      </c>
      <c r="M22" s="34" t="s">
        <v>505</v>
      </c>
      <c r="N22" s="34">
        <f t="shared" si="1"/>
        <v>0</v>
      </c>
    </row>
    <row r="23" spans="1:14" ht="12.75">
      <c r="A23" s="41"/>
      <c r="B23" s="41" t="s">
        <v>15</v>
      </c>
      <c r="C23" s="103" t="s">
        <v>504</v>
      </c>
      <c r="D23" s="104"/>
      <c r="E23" s="104"/>
      <c r="F23" s="104"/>
      <c r="G23" s="104"/>
      <c r="H23" s="104"/>
      <c r="I23" s="44">
        <f>SUMIF('Stavební rozpočet'!AP13:AP162,"9_",'Stavební rozpočet'!AM13:AM162)</f>
        <v>0</v>
      </c>
      <c r="J23" s="44">
        <f>SUMIF('Stavební rozpočet'!AP13:AP162,"9_",'Stavební rozpočet'!AN13:AN162)</f>
        <v>0</v>
      </c>
      <c r="K23" s="44">
        <f t="shared" si="0"/>
        <v>0</v>
      </c>
      <c r="L23" s="44">
        <f>SUMIF('Stavební rozpočet'!AP13:AP162,"9_",'Stavební rozpočet'!AV13:AV162)</f>
        <v>61.12298210000001</v>
      </c>
      <c r="M23" s="34" t="s">
        <v>505</v>
      </c>
      <c r="N23" s="34">
        <f t="shared" si="1"/>
        <v>0</v>
      </c>
    </row>
    <row r="24" spans="1:12" ht="11.25" customHeight="1">
      <c r="A24" s="42" t="s">
        <v>122</v>
      </c>
      <c r="B24" s="8"/>
      <c r="C24" s="8"/>
      <c r="D24" s="8"/>
      <c r="E24" s="8"/>
      <c r="F24" s="8"/>
      <c r="G24" s="8"/>
      <c r="H24" s="8"/>
      <c r="I24" s="94" t="s">
        <v>424</v>
      </c>
      <c r="J24" s="95"/>
      <c r="K24" s="38">
        <f>SUM(N12:N23)</f>
        <v>0</v>
      </c>
      <c r="L24" s="8"/>
    </row>
    <row r="25" spans="1:11" ht="409.5" customHeight="1" hidden="1">
      <c r="A25" s="81"/>
      <c r="B25" s="73"/>
      <c r="C25" s="73"/>
      <c r="D25" s="73"/>
      <c r="E25" s="73"/>
      <c r="F25" s="73"/>
      <c r="G25" s="73"/>
      <c r="H25" s="73"/>
      <c r="I25" s="73"/>
      <c r="J25" s="73"/>
      <c r="K25" s="73"/>
    </row>
  </sheetData>
  <sheetProtection/>
  <mergeCells count="42">
    <mergeCell ref="C21:H21"/>
    <mergeCell ref="C22:H22"/>
    <mergeCell ref="C23:H23"/>
    <mergeCell ref="I24:J24"/>
    <mergeCell ref="A25:K25"/>
    <mergeCell ref="C15:H15"/>
    <mergeCell ref="C16:H16"/>
    <mergeCell ref="C17:H17"/>
    <mergeCell ref="C18:H18"/>
    <mergeCell ref="C19:H19"/>
    <mergeCell ref="C20:H20"/>
    <mergeCell ref="C10:H10"/>
    <mergeCell ref="I10:K10"/>
    <mergeCell ref="C11:H11"/>
    <mergeCell ref="C12:H12"/>
    <mergeCell ref="C13:H13"/>
    <mergeCell ref="C14:H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68" t="s">
        <v>506</v>
      </c>
      <c r="B1" s="69"/>
      <c r="C1" s="69"/>
      <c r="D1" s="69"/>
      <c r="E1" s="69"/>
      <c r="F1" s="69"/>
      <c r="G1" s="69"/>
      <c r="H1" s="69"/>
    </row>
    <row r="2" spans="1:9" ht="12.75">
      <c r="A2" s="70" t="s">
        <v>1</v>
      </c>
      <c r="B2" s="71"/>
      <c r="C2" s="74" t="s">
        <v>255</v>
      </c>
      <c r="D2" s="95"/>
      <c r="E2" s="77" t="s">
        <v>425</v>
      </c>
      <c r="F2" s="77"/>
      <c r="G2" s="71"/>
      <c r="H2" s="78"/>
      <c r="I2" s="32"/>
    </row>
    <row r="3" spans="1:9" ht="12.75">
      <c r="A3" s="72"/>
      <c r="B3" s="73"/>
      <c r="C3" s="75"/>
      <c r="D3" s="75"/>
      <c r="E3" s="73"/>
      <c r="F3" s="73"/>
      <c r="G3" s="73"/>
      <c r="H3" s="79"/>
      <c r="I3" s="32"/>
    </row>
    <row r="4" spans="1:9" ht="12.75">
      <c r="A4" s="80" t="s">
        <v>2</v>
      </c>
      <c r="B4" s="73"/>
      <c r="C4" s="81" t="s">
        <v>256</v>
      </c>
      <c r="D4" s="73"/>
      <c r="E4" s="81" t="s">
        <v>426</v>
      </c>
      <c r="F4" s="81"/>
      <c r="G4" s="73"/>
      <c r="H4" s="79"/>
      <c r="I4" s="32"/>
    </row>
    <row r="5" spans="1:9" ht="12.75">
      <c r="A5" s="72"/>
      <c r="B5" s="73"/>
      <c r="C5" s="73"/>
      <c r="D5" s="73"/>
      <c r="E5" s="73"/>
      <c r="F5" s="73"/>
      <c r="G5" s="73"/>
      <c r="H5" s="79"/>
      <c r="I5" s="32"/>
    </row>
    <row r="6" spans="1:9" ht="12.75">
      <c r="A6" s="80" t="s">
        <v>3</v>
      </c>
      <c r="B6" s="73"/>
      <c r="C6" s="81"/>
      <c r="D6" s="73"/>
      <c r="E6" s="81" t="s">
        <v>427</v>
      </c>
      <c r="F6" s="81"/>
      <c r="G6" s="73"/>
      <c r="H6" s="79"/>
      <c r="I6" s="32"/>
    </row>
    <row r="7" spans="1:9" ht="12.75">
      <c r="A7" s="72"/>
      <c r="B7" s="73"/>
      <c r="C7" s="73"/>
      <c r="D7" s="73"/>
      <c r="E7" s="73"/>
      <c r="F7" s="73"/>
      <c r="G7" s="73"/>
      <c r="H7" s="79"/>
      <c r="I7" s="32"/>
    </row>
    <row r="8" spans="1:9" ht="12.75">
      <c r="A8" s="80" t="s">
        <v>428</v>
      </c>
      <c r="B8" s="73"/>
      <c r="C8" s="81"/>
      <c r="D8" s="73"/>
      <c r="E8" s="82" t="s">
        <v>410</v>
      </c>
      <c r="F8" s="83">
        <v>42506</v>
      </c>
      <c r="G8" s="73"/>
      <c r="H8" s="79"/>
      <c r="I8" s="32"/>
    </row>
    <row r="9" spans="1:9" ht="12.75">
      <c r="A9" s="84"/>
      <c r="B9" s="85"/>
      <c r="C9" s="85"/>
      <c r="D9" s="85"/>
      <c r="E9" s="85"/>
      <c r="F9" s="85"/>
      <c r="G9" s="85"/>
      <c r="H9" s="86"/>
      <c r="I9" s="32"/>
    </row>
    <row r="10" spans="1:9" ht="12.75">
      <c r="A10" s="46" t="s">
        <v>5</v>
      </c>
      <c r="B10" s="48" t="s">
        <v>123</v>
      </c>
      <c r="C10" s="48" t="s">
        <v>124</v>
      </c>
      <c r="D10" s="48" t="s">
        <v>257</v>
      </c>
      <c r="E10" s="48" t="s">
        <v>411</v>
      </c>
      <c r="F10" s="48" t="s">
        <v>258</v>
      </c>
      <c r="G10" s="49" t="s">
        <v>419</v>
      </c>
      <c r="H10" s="50" t="s">
        <v>507</v>
      </c>
      <c r="I10" s="33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1.25" customHeight="1">
      <c r="A12" s="9" t="s">
        <v>122</v>
      </c>
    </row>
    <row r="13" spans="1:7" ht="409.5" customHeight="1" hidden="1">
      <c r="A13" s="81"/>
      <c r="B13" s="73"/>
      <c r="C13" s="73"/>
      <c r="D13" s="73"/>
      <c r="E13" s="73"/>
      <c r="F13" s="73"/>
      <c r="G13" s="73"/>
    </row>
  </sheetData>
  <sheetProtection/>
  <mergeCells count="18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7"/>
      <c r="B1" s="51"/>
      <c r="C1" s="105" t="s">
        <v>523</v>
      </c>
      <c r="D1" s="106"/>
      <c r="E1" s="106"/>
      <c r="F1" s="106"/>
      <c r="G1" s="106"/>
      <c r="H1" s="106"/>
      <c r="I1" s="106"/>
    </row>
    <row r="2" spans="1:10" ht="12.75">
      <c r="A2" s="70" t="s">
        <v>1</v>
      </c>
      <c r="B2" s="71"/>
      <c r="C2" s="74" t="s">
        <v>255</v>
      </c>
      <c r="D2" s="95"/>
      <c r="E2" s="77" t="s">
        <v>425</v>
      </c>
      <c r="F2" s="77"/>
      <c r="G2" s="71"/>
      <c r="H2" s="77" t="s">
        <v>548</v>
      </c>
      <c r="I2" s="107"/>
      <c r="J2" s="32"/>
    </row>
    <row r="3" spans="1:10" ht="12.75">
      <c r="A3" s="72"/>
      <c r="B3" s="73"/>
      <c r="C3" s="75"/>
      <c r="D3" s="75"/>
      <c r="E3" s="73"/>
      <c r="F3" s="73"/>
      <c r="G3" s="73"/>
      <c r="H3" s="73"/>
      <c r="I3" s="79"/>
      <c r="J3" s="32"/>
    </row>
    <row r="4" spans="1:10" ht="12.75">
      <c r="A4" s="80" t="s">
        <v>2</v>
      </c>
      <c r="B4" s="73"/>
      <c r="C4" s="81" t="s">
        <v>256</v>
      </c>
      <c r="D4" s="73"/>
      <c r="E4" s="81" t="s">
        <v>426</v>
      </c>
      <c r="F4" s="81"/>
      <c r="G4" s="73"/>
      <c r="H4" s="81" t="s">
        <v>548</v>
      </c>
      <c r="I4" s="108"/>
      <c r="J4" s="32"/>
    </row>
    <row r="5" spans="1:10" ht="12.75">
      <c r="A5" s="72"/>
      <c r="B5" s="73"/>
      <c r="C5" s="73"/>
      <c r="D5" s="73"/>
      <c r="E5" s="73"/>
      <c r="F5" s="73"/>
      <c r="G5" s="73"/>
      <c r="H5" s="73"/>
      <c r="I5" s="79"/>
      <c r="J5" s="32"/>
    </row>
    <row r="6" spans="1:10" ht="12.75">
      <c r="A6" s="80" t="s">
        <v>3</v>
      </c>
      <c r="B6" s="73"/>
      <c r="C6" s="81"/>
      <c r="D6" s="73"/>
      <c r="E6" s="81" t="s">
        <v>427</v>
      </c>
      <c r="F6" s="81"/>
      <c r="G6" s="73"/>
      <c r="H6" s="81" t="s">
        <v>548</v>
      </c>
      <c r="I6" s="108"/>
      <c r="J6" s="32"/>
    </row>
    <row r="7" spans="1:10" ht="12.75">
      <c r="A7" s="72"/>
      <c r="B7" s="73"/>
      <c r="C7" s="73"/>
      <c r="D7" s="73"/>
      <c r="E7" s="73"/>
      <c r="F7" s="73"/>
      <c r="G7" s="73"/>
      <c r="H7" s="73"/>
      <c r="I7" s="79"/>
      <c r="J7" s="32"/>
    </row>
    <row r="8" spans="1:10" ht="12.75">
      <c r="A8" s="80" t="s">
        <v>408</v>
      </c>
      <c r="B8" s="73"/>
      <c r="C8" s="83">
        <v>42506</v>
      </c>
      <c r="D8" s="73"/>
      <c r="E8" s="81" t="s">
        <v>409</v>
      </c>
      <c r="F8" s="73"/>
      <c r="G8" s="73"/>
      <c r="H8" s="82" t="s">
        <v>549</v>
      </c>
      <c r="I8" s="108" t="s">
        <v>121</v>
      </c>
      <c r="J8" s="32"/>
    </row>
    <row r="9" spans="1:10" ht="12.75">
      <c r="A9" s="72"/>
      <c r="B9" s="73"/>
      <c r="C9" s="73"/>
      <c r="D9" s="73"/>
      <c r="E9" s="73"/>
      <c r="F9" s="73"/>
      <c r="G9" s="73"/>
      <c r="H9" s="73"/>
      <c r="I9" s="79"/>
      <c r="J9" s="32"/>
    </row>
    <row r="10" spans="1:10" ht="12.75">
      <c r="A10" s="80" t="s">
        <v>4</v>
      </c>
      <c r="B10" s="73"/>
      <c r="C10" s="81"/>
      <c r="D10" s="73"/>
      <c r="E10" s="81" t="s">
        <v>428</v>
      </c>
      <c r="F10" s="81"/>
      <c r="G10" s="73"/>
      <c r="H10" s="82" t="s">
        <v>550</v>
      </c>
      <c r="I10" s="110">
        <v>42506</v>
      </c>
      <c r="J10" s="32"/>
    </row>
    <row r="11" spans="1:10" ht="12.75">
      <c r="A11" s="109"/>
      <c r="B11" s="104"/>
      <c r="C11" s="104"/>
      <c r="D11" s="104"/>
      <c r="E11" s="104"/>
      <c r="F11" s="104"/>
      <c r="G11" s="104"/>
      <c r="H11" s="104"/>
      <c r="I11" s="111"/>
      <c r="J11" s="32"/>
    </row>
    <row r="12" spans="1:9" ht="23.25" customHeight="1">
      <c r="A12" s="112" t="s">
        <v>508</v>
      </c>
      <c r="B12" s="113"/>
      <c r="C12" s="113"/>
      <c r="D12" s="113"/>
      <c r="E12" s="113"/>
      <c r="F12" s="113"/>
      <c r="G12" s="113"/>
      <c r="H12" s="113"/>
      <c r="I12" s="113"/>
    </row>
    <row r="13" spans="1:10" ht="26.25" customHeight="1">
      <c r="A13" s="52" t="s">
        <v>509</v>
      </c>
      <c r="B13" s="114" t="s">
        <v>521</v>
      </c>
      <c r="C13" s="115"/>
      <c r="D13" s="52" t="s">
        <v>524</v>
      </c>
      <c r="E13" s="114" t="s">
        <v>533</v>
      </c>
      <c r="F13" s="115"/>
      <c r="G13" s="52" t="s">
        <v>534</v>
      </c>
      <c r="H13" s="114" t="s">
        <v>551</v>
      </c>
      <c r="I13" s="115"/>
      <c r="J13" s="32"/>
    </row>
    <row r="14" spans="1:10" ht="15" customHeight="1">
      <c r="A14" s="53" t="s">
        <v>510</v>
      </c>
      <c r="B14" s="57" t="s">
        <v>522</v>
      </c>
      <c r="C14" s="60">
        <f>SUM('Stavební rozpočet'!R12:R162)</f>
        <v>0</v>
      </c>
      <c r="D14" s="116" t="s">
        <v>525</v>
      </c>
      <c r="E14" s="117"/>
      <c r="F14" s="60">
        <v>0</v>
      </c>
      <c r="G14" s="116" t="s">
        <v>535</v>
      </c>
      <c r="H14" s="117"/>
      <c r="I14" s="60">
        <v>0</v>
      </c>
      <c r="J14" s="32"/>
    </row>
    <row r="15" spans="1:10" ht="15" customHeight="1">
      <c r="A15" s="54"/>
      <c r="B15" s="57" t="s">
        <v>429</v>
      </c>
      <c r="C15" s="60">
        <f>SUM('Stavební rozpočet'!S12:S162)</f>
        <v>0</v>
      </c>
      <c r="D15" s="116" t="s">
        <v>526</v>
      </c>
      <c r="E15" s="117"/>
      <c r="F15" s="60">
        <v>0</v>
      </c>
      <c r="G15" s="116" t="s">
        <v>536</v>
      </c>
      <c r="H15" s="117"/>
      <c r="I15" s="60">
        <v>0</v>
      </c>
      <c r="J15" s="32"/>
    </row>
    <row r="16" spans="1:10" ht="15" customHeight="1">
      <c r="A16" s="53" t="s">
        <v>511</v>
      </c>
      <c r="B16" s="57" t="s">
        <v>522</v>
      </c>
      <c r="C16" s="60">
        <f>SUM('Stavební rozpočet'!T12:T162)</f>
        <v>0</v>
      </c>
      <c r="D16" s="116" t="s">
        <v>527</v>
      </c>
      <c r="E16" s="117"/>
      <c r="F16" s="60">
        <v>0</v>
      </c>
      <c r="G16" s="116" t="s">
        <v>537</v>
      </c>
      <c r="H16" s="117"/>
      <c r="I16" s="60">
        <v>0</v>
      </c>
      <c r="J16" s="32"/>
    </row>
    <row r="17" spans="1:10" ht="15" customHeight="1">
      <c r="A17" s="54"/>
      <c r="B17" s="57" t="s">
        <v>429</v>
      </c>
      <c r="C17" s="60">
        <f>SUM('Stavební rozpočet'!U12:U162)</f>
        <v>0</v>
      </c>
      <c r="D17" s="116"/>
      <c r="E17" s="117"/>
      <c r="F17" s="61"/>
      <c r="G17" s="116" t="s">
        <v>538</v>
      </c>
      <c r="H17" s="117"/>
      <c r="I17" s="60">
        <v>0</v>
      </c>
      <c r="J17" s="32"/>
    </row>
    <row r="18" spans="1:10" ht="15" customHeight="1">
      <c r="A18" s="53" t="s">
        <v>512</v>
      </c>
      <c r="B18" s="57" t="s">
        <v>522</v>
      </c>
      <c r="C18" s="60">
        <f>SUM('Stavební rozpočet'!V12:V162)</f>
        <v>0</v>
      </c>
      <c r="D18" s="116"/>
      <c r="E18" s="117"/>
      <c r="F18" s="61"/>
      <c r="G18" s="116" t="s">
        <v>539</v>
      </c>
      <c r="H18" s="117"/>
      <c r="I18" s="60">
        <v>0</v>
      </c>
      <c r="J18" s="32"/>
    </row>
    <row r="19" spans="1:10" ht="15" customHeight="1">
      <c r="A19" s="54"/>
      <c r="B19" s="57" t="s">
        <v>429</v>
      </c>
      <c r="C19" s="60">
        <f>SUM('Stavební rozpočet'!W12:W162)</f>
        <v>0</v>
      </c>
      <c r="D19" s="116"/>
      <c r="E19" s="117"/>
      <c r="F19" s="61"/>
      <c r="G19" s="116" t="s">
        <v>540</v>
      </c>
      <c r="H19" s="117"/>
      <c r="I19" s="60">
        <v>0</v>
      </c>
      <c r="J19" s="32"/>
    </row>
    <row r="20" spans="1:10" ht="15" customHeight="1">
      <c r="A20" s="118" t="s">
        <v>513</v>
      </c>
      <c r="B20" s="119"/>
      <c r="C20" s="60">
        <f>SUM('Stavební rozpočet'!X12:X162)</f>
        <v>0</v>
      </c>
      <c r="D20" s="116"/>
      <c r="E20" s="117"/>
      <c r="F20" s="61"/>
      <c r="G20" s="116"/>
      <c r="H20" s="117"/>
      <c r="I20" s="61"/>
      <c r="J20" s="32"/>
    </row>
    <row r="21" spans="1:10" ht="15" customHeight="1">
      <c r="A21" s="118" t="s">
        <v>514</v>
      </c>
      <c r="B21" s="119"/>
      <c r="C21" s="60">
        <f>SUM('Stavební rozpočet'!P12:P162)</f>
        <v>0</v>
      </c>
      <c r="D21" s="116"/>
      <c r="E21" s="117"/>
      <c r="F21" s="61"/>
      <c r="G21" s="116"/>
      <c r="H21" s="117"/>
      <c r="I21" s="61"/>
      <c r="J21" s="32"/>
    </row>
    <row r="22" spans="1:10" ht="16.5" customHeight="1">
      <c r="A22" s="118" t="s">
        <v>515</v>
      </c>
      <c r="B22" s="119"/>
      <c r="C22" s="60">
        <f>SUM(C14:C21)</f>
        <v>0</v>
      </c>
      <c r="D22" s="118" t="s">
        <v>528</v>
      </c>
      <c r="E22" s="119"/>
      <c r="F22" s="60">
        <f>SUM(F14:F21)</f>
        <v>0</v>
      </c>
      <c r="G22" s="118" t="s">
        <v>541</v>
      </c>
      <c r="H22" s="119"/>
      <c r="I22" s="60">
        <f>SUM(I14:I21)</f>
        <v>0</v>
      </c>
      <c r="J22" s="32"/>
    </row>
    <row r="23" spans="1:10" ht="15" customHeight="1">
      <c r="A23" s="8"/>
      <c r="B23" s="8"/>
      <c r="C23" s="58"/>
      <c r="D23" s="118" t="s">
        <v>529</v>
      </c>
      <c r="E23" s="119"/>
      <c r="F23" s="62">
        <v>0</v>
      </c>
      <c r="G23" s="118" t="s">
        <v>542</v>
      </c>
      <c r="H23" s="119"/>
      <c r="I23" s="60">
        <v>0</v>
      </c>
      <c r="J23" s="32"/>
    </row>
    <row r="24" spans="4:9" ht="15" customHeight="1">
      <c r="D24" s="8"/>
      <c r="E24" s="8"/>
      <c r="F24" s="63"/>
      <c r="G24" s="118" t="s">
        <v>543</v>
      </c>
      <c r="H24" s="119"/>
      <c r="I24" s="65"/>
    </row>
    <row r="25" spans="6:10" ht="15" customHeight="1">
      <c r="F25" s="64"/>
      <c r="G25" s="118" t="s">
        <v>544</v>
      </c>
      <c r="H25" s="119"/>
      <c r="I25" s="60">
        <v>0</v>
      </c>
      <c r="J25" s="32"/>
    </row>
    <row r="26" spans="1:9" ht="12.75">
      <c r="A26" s="51"/>
      <c r="B26" s="51"/>
      <c r="C26" s="51"/>
      <c r="G26" s="8"/>
      <c r="H26" s="8"/>
      <c r="I26" s="8"/>
    </row>
    <row r="27" spans="1:9" ht="15" customHeight="1">
      <c r="A27" s="120" t="s">
        <v>516</v>
      </c>
      <c r="B27" s="121"/>
      <c r="C27" s="66">
        <f>SUM('Stavební rozpočet'!Z12:Z162)</f>
        <v>0</v>
      </c>
      <c r="D27" s="59"/>
      <c r="E27" s="51"/>
      <c r="F27" s="51"/>
      <c r="G27" s="51"/>
      <c r="H27" s="51"/>
      <c r="I27" s="51"/>
    </row>
    <row r="28" spans="1:10" ht="15" customHeight="1">
      <c r="A28" s="120" t="s">
        <v>517</v>
      </c>
      <c r="B28" s="121"/>
      <c r="C28" s="66">
        <f>SUM('Stavební rozpočet'!AA12:AA162)</f>
        <v>0</v>
      </c>
      <c r="D28" s="120" t="s">
        <v>530</v>
      </c>
      <c r="E28" s="121"/>
      <c r="F28" s="66">
        <f>ROUND(C28*(15/100),2)</f>
        <v>0</v>
      </c>
      <c r="G28" s="120" t="s">
        <v>545</v>
      </c>
      <c r="H28" s="121"/>
      <c r="I28" s="66">
        <f>SUM(C27:C29)</f>
        <v>0</v>
      </c>
      <c r="J28" s="32"/>
    </row>
    <row r="29" spans="1:10" ht="15" customHeight="1">
      <c r="A29" s="120" t="s">
        <v>518</v>
      </c>
      <c r="B29" s="121"/>
      <c r="C29" s="66">
        <f>SUM('Stavební rozpočet'!AB12:AB162)+(F22+I22+F23+I23+I24+I25)</f>
        <v>0</v>
      </c>
      <c r="D29" s="120" t="s">
        <v>531</v>
      </c>
      <c r="E29" s="121"/>
      <c r="F29" s="66">
        <f>ROUND(C29*(21/100),2)</f>
        <v>0</v>
      </c>
      <c r="G29" s="120" t="s">
        <v>546</v>
      </c>
      <c r="H29" s="121"/>
      <c r="I29" s="66">
        <f>SUM(F28:F29)+I28</f>
        <v>0</v>
      </c>
      <c r="J29" s="32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122" t="s">
        <v>519</v>
      </c>
      <c r="B31" s="123"/>
      <c r="C31" s="124"/>
      <c r="D31" s="122" t="s">
        <v>532</v>
      </c>
      <c r="E31" s="123"/>
      <c r="F31" s="124"/>
      <c r="G31" s="122" t="s">
        <v>547</v>
      </c>
      <c r="H31" s="123"/>
      <c r="I31" s="124"/>
      <c r="J31" s="33"/>
    </row>
    <row r="32" spans="1:10" ht="14.25" customHeight="1">
      <c r="A32" s="125"/>
      <c r="B32" s="126"/>
      <c r="C32" s="127"/>
      <c r="D32" s="125"/>
      <c r="E32" s="126"/>
      <c r="F32" s="127"/>
      <c r="G32" s="125"/>
      <c r="H32" s="126"/>
      <c r="I32" s="127"/>
      <c r="J32" s="33"/>
    </row>
    <row r="33" spans="1:10" ht="14.25" customHeight="1">
      <c r="A33" s="125"/>
      <c r="B33" s="126"/>
      <c r="C33" s="127"/>
      <c r="D33" s="125"/>
      <c r="E33" s="126"/>
      <c r="F33" s="127"/>
      <c r="G33" s="125"/>
      <c r="H33" s="126"/>
      <c r="I33" s="127"/>
      <c r="J33" s="33"/>
    </row>
    <row r="34" spans="1:10" ht="14.25" customHeight="1">
      <c r="A34" s="125"/>
      <c r="B34" s="126"/>
      <c r="C34" s="127"/>
      <c r="D34" s="125"/>
      <c r="E34" s="126"/>
      <c r="F34" s="127"/>
      <c r="G34" s="125"/>
      <c r="H34" s="126"/>
      <c r="I34" s="127"/>
      <c r="J34" s="33"/>
    </row>
    <row r="35" spans="1:10" ht="14.25" customHeight="1">
      <c r="A35" s="128" t="s">
        <v>520</v>
      </c>
      <c r="B35" s="129"/>
      <c r="C35" s="130"/>
      <c r="D35" s="128" t="s">
        <v>520</v>
      </c>
      <c r="E35" s="129"/>
      <c r="F35" s="130"/>
      <c r="G35" s="128" t="s">
        <v>520</v>
      </c>
      <c r="H35" s="129"/>
      <c r="I35" s="130"/>
      <c r="J35" s="33"/>
    </row>
    <row r="36" spans="1:9" ht="11.25" customHeight="1">
      <c r="A36" s="56" t="s">
        <v>122</v>
      </c>
      <c r="B36" s="47"/>
      <c r="C36" s="47"/>
      <c r="D36" s="47"/>
      <c r="E36" s="47"/>
      <c r="F36" s="47"/>
      <c r="G36" s="47"/>
      <c r="H36" s="47"/>
      <c r="I36" s="47"/>
    </row>
    <row r="37" spans="1:9" ht="409.5" customHeight="1" hidden="1">
      <c r="A37" s="81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Bucharová</cp:lastModifiedBy>
  <dcterms:modified xsi:type="dcterms:W3CDTF">2017-03-07T09:44:02Z</dcterms:modified>
  <cp:category/>
  <cp:version/>
  <cp:contentType/>
  <cp:contentStatus/>
</cp:coreProperties>
</file>